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'загал'!$A$1:$I$100</definedName>
  </definedNames>
  <calcPr fullCalcOnLoad="1"/>
</workbook>
</file>

<file path=xl/sharedStrings.xml><?xml version="1.0" encoding="utf-8"?>
<sst xmlns="http://schemas.openxmlformats.org/spreadsheetml/2006/main" count="123" uniqueCount="120">
  <si>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</si>
  <si>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</si>
  <si>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</si>
  <si>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</si>
  <si>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</si>
  <si>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</si>
  <si>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</si>
  <si>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</si>
  <si>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</si>
  <si>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</si>
  <si>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</si>
  <si>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</si>
  <si>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</si>
  <si>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</si>
  <si>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</si>
  <si>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</si>
  <si>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</si>
  <si>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</si>
  <si>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</si>
  <si>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</si>
  <si>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</si>
  <si>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</si>
  <si>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</si>
  <si>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</si>
  <si>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</si>
  <si>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</si>
  <si>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</si>
  <si>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</si>
  <si>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</si>
  <si>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</si>
  <si>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</si>
  <si>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</si>
  <si>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</si>
  <si>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</si>
  <si>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</si>
  <si>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</si>
  <si>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</si>
  <si>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</si>
  <si>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</si>
  <si>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</si>
  <si>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</si>
  <si>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</si>
  <si>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</si>
  <si>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</si>
  <si>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</si>
  <si>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</si>
  <si>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</si>
  <si>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</si>
  <si>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</si>
  <si>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</si>
  <si>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</si>
  <si>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</si>
  <si>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</si>
  <si>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</si>
  <si>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</si>
  <si>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</si>
  <si>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</si>
  <si>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</si>
  <si>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</si>
  <si>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</si>
  <si>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</si>
  <si>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</si>
  <si>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</si>
  <si>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</si>
  <si>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</si>
  <si>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</si>
  <si>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</si>
  <si>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</si>
  <si>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</si>
  <si>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</si>
  <si>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</si>
  <si>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</si>
  <si>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</si>
  <si>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</si>
  <si>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</si>
  <si>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</si>
  <si>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</si>
  <si>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</si>
  <si>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</si>
  <si>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</si>
  <si>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</si>
  <si>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</si>
  <si>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</si>
  <si>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</si>
  <si>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</si>
  <si>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</si>
  <si>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</si>
  <si>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</si>
  <si>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</si>
  <si>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</si>
  <si>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</si>
  <si>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</si>
  <si>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</si>
  <si>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</si>
  <si>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</si>
  <si>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</si>
  <si>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</si>
  <si>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</si>
  <si>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</si>
  <si>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</si>
  <si>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</si>
  <si>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</si>
  <si>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</si>
  <si>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</si>
  <si>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</si>
  <si>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</si>
  <si>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</si>
  <si>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</si>
  <si>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</si>
  <si>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</si>
  <si>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</si>
  <si>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</si>
  <si>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</si>
  <si>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Відсоток виконання до плану 5 місяців</t>
  </si>
  <si>
    <t>Залишок призначень до плану 5 місяців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</si>
  <si>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</si>
  <si>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</si>
  <si>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</si>
  <si>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</si>
  <si>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Профінансовано станом на 02.06.2016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</si>
</sst>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0" fillId="0" borderId="0" xfId="82" applyNumberFormat="1" applyFont="1">
      <alignment/>
      <protection/>
    </xf>
    <xf numFmtId="0" fontId="17" fillId="0" borderId="10" xfId="80" applyFont="1" applyFill="1" applyBorder="1" applyAlignment="1">
      <alignment vertical="top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"/>
  <sheetViews>
    <sheetView tabSelected="1" view="pageBreakPreview" zoomScale="4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I1" sqref="I1:Y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hidden="1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16384" width="9.33203125" style="7" customWidth="1"/>
  </cols>
  <sheetData>
    <row r="1" spans="1:8" ht="21" customHeight="1">
      <c r="A1" s="91" t="s">
        <v>11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12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94" t="s">
        <v>8</v>
      </c>
      <c r="B4" s="12"/>
      <c r="C4" s="94" t="s">
        <v>14</v>
      </c>
      <c r="D4" s="93" t="s">
        <v>15</v>
      </c>
      <c r="E4" s="93" t="s">
        <v>0</v>
      </c>
      <c r="F4" s="93" t="s">
        <v>1</v>
      </c>
      <c r="G4" s="14" t="s">
        <v>2</v>
      </c>
      <c r="H4" s="93" t="s">
        <v>119</v>
      </c>
      <c r="I4" s="83" t="s">
        <v>42</v>
      </c>
      <c r="J4" s="83" t="s">
        <v>113</v>
      </c>
      <c r="K4" s="88" t="s">
        <v>114</v>
      </c>
      <c r="L4" s="83" t="s">
        <v>43</v>
      </c>
      <c r="M4" s="83" t="s">
        <v>44</v>
      </c>
      <c r="N4" s="83" t="s">
        <v>45</v>
      </c>
      <c r="O4" s="83" t="s">
        <v>46</v>
      </c>
      <c r="P4" s="83" t="s">
        <v>47</v>
      </c>
      <c r="Q4" s="83" t="s">
        <v>48</v>
      </c>
      <c r="R4" s="83" t="s">
        <v>49</v>
      </c>
      <c r="S4" s="83" t="s">
        <v>50</v>
      </c>
      <c r="T4" s="83" t="s">
        <v>51</v>
      </c>
      <c r="U4" s="83" t="s">
        <v>52</v>
      </c>
      <c r="V4" s="83" t="s">
        <v>53</v>
      </c>
      <c r="W4" s="83" t="s">
        <v>54</v>
      </c>
      <c r="X4" s="83" t="s">
        <v>55</v>
      </c>
    </row>
    <row r="5" spans="1:24" ht="55.5" customHeight="1">
      <c r="A5" s="94"/>
      <c r="B5" s="15" t="s">
        <v>9</v>
      </c>
      <c r="C5" s="94"/>
      <c r="D5" s="93"/>
      <c r="E5" s="93"/>
      <c r="F5" s="93"/>
      <c r="G5" s="13" t="s">
        <v>7</v>
      </c>
      <c r="H5" s="93"/>
      <c r="I5" s="84"/>
      <c r="J5" s="90"/>
      <c r="K5" s="89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4"/>
      <c r="K6" s="53"/>
    </row>
    <row r="7" spans="1:25" s="16" customFormat="1" ht="19.5" customHeight="1">
      <c r="A7" s="85" t="s">
        <v>16</v>
      </c>
      <c r="B7" s="86"/>
      <c r="C7" s="86"/>
      <c r="D7" s="86"/>
      <c r="E7" s="86"/>
      <c r="F7" s="86"/>
      <c r="G7" s="86"/>
      <c r="H7" s="86"/>
      <c r="I7" s="87"/>
      <c r="J7" s="74"/>
      <c r="K7" s="54"/>
      <c r="Y7" s="81"/>
    </row>
    <row r="8" spans="1:25" ht="37.5" customHeight="1">
      <c r="A8" s="17">
        <v>1</v>
      </c>
      <c r="B8" s="18"/>
      <c r="C8" s="19" t="s">
        <v>17</v>
      </c>
      <c r="D8" s="20">
        <f>D9+D23</f>
        <v>120000258.86</v>
      </c>
      <c r="E8" s="20">
        <f>E9</f>
        <v>31136618.86</v>
      </c>
      <c r="F8" s="20">
        <f>F23</f>
        <v>88863640</v>
      </c>
      <c r="G8" s="20">
        <f>G23</f>
        <v>88863640</v>
      </c>
      <c r="H8" s="20">
        <f>H9+H23</f>
        <v>34648825.19</v>
      </c>
      <c r="I8" s="73">
        <f>H8/D8*100</f>
        <v>28.87395870572541</v>
      </c>
      <c r="J8" s="75"/>
      <c r="K8" s="70">
        <f aca="true" t="shared" si="0" ref="K8:X8">K9+K15</f>
        <v>11710439.1</v>
      </c>
      <c r="L8" s="70">
        <f t="shared" si="0"/>
        <v>112816</v>
      </c>
      <c r="M8" s="70">
        <f t="shared" si="0"/>
        <v>1300000</v>
      </c>
      <c r="N8" s="70">
        <f t="shared" si="0"/>
        <v>3700000</v>
      </c>
      <c r="O8" s="70">
        <f t="shared" si="0"/>
        <v>8500000</v>
      </c>
      <c r="P8" s="70">
        <f t="shared" si="0"/>
        <v>4469971.76</v>
      </c>
      <c r="Q8" s="70">
        <f t="shared" si="0"/>
        <v>5516190</v>
      </c>
      <c r="R8" s="70">
        <f t="shared" si="0"/>
        <v>2467079.39</v>
      </c>
      <c r="S8" s="70">
        <f t="shared" si="0"/>
        <v>2479622</v>
      </c>
      <c r="T8" s="70">
        <f t="shared" si="0"/>
        <v>1720935</v>
      </c>
      <c r="U8" s="70">
        <f t="shared" si="0"/>
        <v>473444</v>
      </c>
      <c r="V8" s="70">
        <f t="shared" si="0"/>
        <v>305286.11</v>
      </c>
      <c r="W8" s="70">
        <f t="shared" si="0"/>
        <v>91274.6</v>
      </c>
      <c r="X8" s="70">
        <f t="shared" si="0"/>
        <v>31136618.86</v>
      </c>
      <c r="Y8" s="81"/>
    </row>
    <row r="9" spans="1:25" ht="18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11888538.66</v>
      </c>
      <c r="I9" s="23">
        <f>H9/D9*100</f>
        <v>38.18185498385229</v>
      </c>
      <c r="J9" s="77">
        <f>(H10+H12+H13+H14)/(L9+M9+N9+O9+P9)*100</f>
        <v>64.0892887991572</v>
      </c>
      <c r="K9" s="23">
        <f>L9+M9+N9+O9+P9+Q9-H10-H11-H12-H13-H14</f>
        <v>8083837.449999999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81"/>
    </row>
    <row r="10" spans="1:25" ht="18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</f>
        <v>5220956.7700000005</v>
      </c>
      <c r="I10" s="50">
        <f>H10/D10*100</f>
        <v>38.11195539820425</v>
      </c>
      <c r="J10" s="76"/>
      <c r="K10" s="55">
        <f>E10-H10</f>
        <v>8478043.23</v>
      </c>
      <c r="Y10" s="81"/>
    </row>
    <row r="11" spans="1:25" ht="18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50"/>
      <c r="J11" s="76"/>
      <c r="K11" s="55">
        <f>E11-H11</f>
        <v>461476.0799999996</v>
      </c>
      <c r="Y11" s="81"/>
    </row>
    <row r="12" spans="1:25" s="4" customFormat="1" ht="18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</f>
        <v>2042191.14</v>
      </c>
      <c r="I12" s="50">
        <f aca="true" t="shared" si="1" ref="I12:I22">H12/D12*100</f>
        <v>75.90539204851625</v>
      </c>
      <c r="J12" s="76"/>
      <c r="K12" s="55">
        <f>E12-H12</f>
        <v>648251.6400000004</v>
      </c>
      <c r="Y12" s="81"/>
    </row>
    <row r="13" spans="1:25" ht="18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</f>
        <v>562031</v>
      </c>
      <c r="I13" s="50">
        <f t="shared" si="1"/>
        <v>28.101549999999996</v>
      </c>
      <c r="J13" s="76"/>
      <c r="K13" s="55">
        <f>E13-H13</f>
        <v>1437969</v>
      </c>
      <c r="Y13" s="81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0">
        <f t="shared" si="1"/>
        <v>24.833333333333332</v>
      </c>
      <c r="J14" s="76"/>
      <c r="K14" s="55">
        <f>E14-H14</f>
        <v>225500</v>
      </c>
      <c r="Y14" s="81"/>
    </row>
    <row r="15" spans="1:25" ht="36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3988859.75</v>
      </c>
      <c r="I15" s="50">
        <f t="shared" si="1"/>
        <v>33.280156770151095</v>
      </c>
      <c r="J15" s="77">
        <f>H15/(L15+M15+N15+O15+P15)*100</f>
        <v>69.29030183075965</v>
      </c>
      <c r="K15" s="56">
        <f>L15+M15+N15+O15+P15+Q15-H15</f>
        <v>3626601.6500000004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81"/>
    </row>
    <row r="16" spans="1:25" ht="18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</f>
        <v>1987968.4500000002</v>
      </c>
      <c r="I16" s="51">
        <f>H16/D16*100</f>
        <v>48.56402711615977</v>
      </c>
      <c r="J16" s="78"/>
      <c r="K16" s="69"/>
      <c r="Y16" s="81"/>
    </row>
    <row r="17" spans="1:25" ht="18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</f>
        <v>1640386.7999999998</v>
      </c>
      <c r="I17" s="51"/>
      <c r="J17" s="78"/>
      <c r="K17" s="69"/>
      <c r="Y17" s="81"/>
    </row>
    <row r="18" spans="1:25" ht="18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7"/>
      <c r="I18" s="51"/>
      <c r="J18" s="78"/>
      <c r="K18" s="69"/>
      <c r="Y18" s="81"/>
    </row>
    <row r="19" spans="1:25" ht="36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</f>
        <v>346961.60000000003</v>
      </c>
      <c r="I19" s="51">
        <f t="shared" si="1"/>
        <v>42.358881699426206</v>
      </c>
      <c r="J19" s="78"/>
      <c r="K19" s="69"/>
      <c r="Y19" s="81"/>
    </row>
    <row r="20" spans="1:25" ht="18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46"/>
      <c r="I20" s="51"/>
      <c r="J20" s="78"/>
      <c r="K20" s="69"/>
      <c r="Y20" s="81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46"/>
      <c r="I21" s="51"/>
      <c r="J21" s="78"/>
      <c r="K21" s="69"/>
      <c r="Y21" s="81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</f>
        <v>13542.9</v>
      </c>
      <c r="I22" s="51">
        <f t="shared" si="1"/>
        <v>2.5163322185061316</v>
      </c>
      <c r="J22" s="78"/>
      <c r="K22" s="69"/>
      <c r="Y22" s="81"/>
    </row>
    <row r="23" spans="1:25" ht="26.25" customHeight="1">
      <c r="A23" s="1"/>
      <c r="B23" s="21"/>
      <c r="C23" s="29" t="s">
        <v>31</v>
      </c>
      <c r="D23" s="30">
        <f>SUM(D24:D47)</f>
        <v>88863640</v>
      </c>
      <c r="E23" s="30"/>
      <c r="F23" s="30">
        <f>SUM(F24:F47)</f>
        <v>88863640</v>
      </c>
      <c r="G23" s="30">
        <f>SUM(G24:G47)</f>
        <v>88863640</v>
      </c>
      <c r="H23" s="30">
        <f>SUM(H24:H47)</f>
        <v>22760286.53</v>
      </c>
      <c r="I23" s="49">
        <f>H23/D23*100</f>
        <v>25.612597604599586</v>
      </c>
      <c r="J23" s="79">
        <f>H23/(L23+M23+N23+O23+P23)*100</f>
        <v>66.49070571838287</v>
      </c>
      <c r="K23" s="56">
        <f>L23+M23+N23+O23+P23+Q23-H23</f>
        <v>15253627.850000001</v>
      </c>
      <c r="L23" s="68">
        <f aca="true" t="shared" si="3" ref="L23:X23">SUM(L24:L47)</f>
        <v>0</v>
      </c>
      <c r="M23" s="68">
        <f t="shared" si="3"/>
        <v>0</v>
      </c>
      <c r="N23" s="68">
        <f t="shared" si="3"/>
        <v>6140000</v>
      </c>
      <c r="O23" s="68">
        <f t="shared" si="3"/>
        <v>14486801.99</v>
      </c>
      <c r="P23" s="68">
        <f t="shared" si="3"/>
        <v>13603977.01</v>
      </c>
      <c r="Q23" s="68">
        <f t="shared" si="3"/>
        <v>3783135.38</v>
      </c>
      <c r="R23" s="68">
        <f t="shared" si="3"/>
        <v>22193192.62</v>
      </c>
      <c r="S23" s="68">
        <f t="shared" si="3"/>
        <v>9041860</v>
      </c>
      <c r="T23" s="68">
        <f t="shared" si="3"/>
        <v>2326822.25</v>
      </c>
      <c r="U23" s="68">
        <f t="shared" si="3"/>
        <v>9420141.32</v>
      </c>
      <c r="V23" s="68">
        <f t="shared" si="3"/>
        <v>3619370.4299999997</v>
      </c>
      <c r="W23" s="68">
        <f t="shared" si="3"/>
        <v>4248339</v>
      </c>
      <c r="X23" s="68">
        <f t="shared" si="3"/>
        <v>88863640</v>
      </c>
      <c r="Y23" s="81">
        <f>D23-X23</f>
        <v>0</v>
      </c>
    </row>
    <row r="24" spans="1:25" ht="26.25" customHeight="1">
      <c r="A24" s="1"/>
      <c r="B24" s="21"/>
      <c r="C24" s="58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50">
        <f>H24/D24*100</f>
        <v>40.476190476190474</v>
      </c>
      <c r="J24" s="79">
        <f aca="true" t="shared" si="4" ref="J24:J47">H24/(L24+M24+N24+O24+P24)*100</f>
        <v>85</v>
      </c>
      <c r="K24" s="56">
        <f aca="true" t="shared" si="5" ref="K24:K47">L24+M24+N24+O24+P24+Q24-H24</f>
        <v>30000</v>
      </c>
      <c r="L24" s="57"/>
      <c r="M24" s="45"/>
      <c r="N24" s="45">
        <v>100000</v>
      </c>
      <c r="O24" s="45">
        <v>100000</v>
      </c>
      <c r="P24" s="45"/>
      <c r="Q24" s="45"/>
      <c r="R24" s="45"/>
      <c r="S24" s="45"/>
      <c r="T24" s="45">
        <v>220000</v>
      </c>
      <c r="U24" s="45"/>
      <c r="V24" s="45"/>
      <c r="W24" s="45"/>
      <c r="X24" s="67">
        <f>SUM(L24:W24)</f>
        <v>420000</v>
      </c>
      <c r="Y24" s="81">
        <f>D24-X24</f>
        <v>0</v>
      </c>
    </row>
    <row r="25" spans="1:25" ht="34.5" customHeight="1">
      <c r="A25" s="1"/>
      <c r="B25" s="21"/>
      <c r="C25" s="58" t="s">
        <v>57</v>
      </c>
      <c r="D25" s="33">
        <f aca="true" t="shared" si="6" ref="D25:D44">F25</f>
        <v>90000</v>
      </c>
      <c r="E25" s="30"/>
      <c r="F25" s="33">
        <f aca="true" t="shared" si="7" ref="F25:F44">G25</f>
        <v>90000</v>
      </c>
      <c r="G25" s="33">
        <v>90000</v>
      </c>
      <c r="H25" s="25"/>
      <c r="I25" s="49"/>
      <c r="J25" s="79">
        <f t="shared" si="4"/>
        <v>0</v>
      </c>
      <c r="K25" s="56">
        <f t="shared" si="5"/>
        <v>90000</v>
      </c>
      <c r="L25" s="57"/>
      <c r="M25" s="45"/>
      <c r="N25" s="45">
        <v>90000</v>
      </c>
      <c r="O25" s="45"/>
      <c r="P25" s="45"/>
      <c r="Q25" s="45"/>
      <c r="R25" s="45"/>
      <c r="S25" s="45"/>
      <c r="T25" s="45"/>
      <c r="U25" s="45"/>
      <c r="V25" s="45"/>
      <c r="W25" s="45"/>
      <c r="X25" s="67">
        <f aca="true" t="shared" si="8" ref="X25:X47">SUM(L25:W25)</f>
        <v>90000</v>
      </c>
      <c r="Y25" s="81">
        <f aca="true" t="shared" si="9" ref="Y25:Y85">D25-X25</f>
        <v>0</v>
      </c>
    </row>
    <row r="26" spans="1:25" ht="27" customHeight="1">
      <c r="A26" s="1"/>
      <c r="B26" s="21"/>
      <c r="C26" s="58" t="s">
        <v>109</v>
      </c>
      <c r="D26" s="33">
        <f t="shared" si="6"/>
        <v>40000</v>
      </c>
      <c r="E26" s="30"/>
      <c r="F26" s="33">
        <f t="shared" si="7"/>
        <v>40000</v>
      </c>
      <c r="G26" s="33">
        <f>590000-550000</f>
        <v>40000</v>
      </c>
      <c r="H26" s="25"/>
      <c r="I26" s="49"/>
      <c r="J26" s="79"/>
      <c r="K26" s="56">
        <f t="shared" si="5"/>
        <v>0</v>
      </c>
      <c r="L26" s="57"/>
      <c r="M26" s="45"/>
      <c r="N26" s="45"/>
      <c r="O26" s="45"/>
      <c r="P26" s="45"/>
      <c r="Q26" s="45"/>
      <c r="R26" s="45"/>
      <c r="S26" s="45"/>
      <c r="T26" s="45"/>
      <c r="U26" s="45">
        <f>420000-420000</f>
        <v>0</v>
      </c>
      <c r="V26" s="45">
        <f>170000-130000</f>
        <v>40000</v>
      </c>
      <c r="W26" s="45"/>
      <c r="X26" s="67">
        <f t="shared" si="8"/>
        <v>40000</v>
      </c>
      <c r="Y26" s="81">
        <f t="shared" si="9"/>
        <v>0</v>
      </c>
    </row>
    <row r="27" spans="1:25" ht="23.25" customHeight="1">
      <c r="A27" s="1"/>
      <c r="B27" s="21"/>
      <c r="C27" s="58" t="s">
        <v>58</v>
      </c>
      <c r="D27" s="33">
        <f t="shared" si="6"/>
        <v>471000</v>
      </c>
      <c r="E27" s="30"/>
      <c r="F27" s="33">
        <f t="shared" si="7"/>
        <v>471000</v>
      </c>
      <c r="G27" s="33">
        <v>471000</v>
      </c>
      <c r="H27" s="25"/>
      <c r="I27" s="49"/>
      <c r="J27" s="79">
        <f t="shared" si="4"/>
        <v>0</v>
      </c>
      <c r="K27" s="56">
        <f t="shared" si="5"/>
        <v>471000</v>
      </c>
      <c r="L27" s="57"/>
      <c r="M27" s="45"/>
      <c r="N27" s="45">
        <v>300000</v>
      </c>
      <c r="O27" s="45">
        <v>171000</v>
      </c>
      <c r="P27" s="45"/>
      <c r="Q27" s="45"/>
      <c r="R27" s="45"/>
      <c r="S27" s="45"/>
      <c r="T27" s="45"/>
      <c r="U27" s="45"/>
      <c r="V27" s="45"/>
      <c r="W27" s="45"/>
      <c r="X27" s="67">
        <f t="shared" si="8"/>
        <v>471000</v>
      </c>
      <c r="Y27" s="81">
        <f t="shared" si="9"/>
        <v>0</v>
      </c>
    </row>
    <row r="28" spans="1:25" ht="23.25" customHeight="1">
      <c r="A28" s="1"/>
      <c r="B28" s="21"/>
      <c r="C28" s="58" t="s">
        <v>59</v>
      </c>
      <c r="D28" s="33">
        <f t="shared" si="6"/>
        <v>320000</v>
      </c>
      <c r="E28" s="30"/>
      <c r="F28" s="33">
        <f t="shared" si="7"/>
        <v>320000</v>
      </c>
      <c r="G28" s="33">
        <v>320000</v>
      </c>
      <c r="H28" s="25">
        <f>20000</f>
        <v>20000</v>
      </c>
      <c r="I28" s="50">
        <f>H28/D28*100</f>
        <v>6.25</v>
      </c>
      <c r="J28" s="79">
        <f t="shared" si="4"/>
        <v>6.25</v>
      </c>
      <c r="K28" s="56">
        <f t="shared" si="5"/>
        <v>300000</v>
      </c>
      <c r="L28" s="57"/>
      <c r="M28" s="45"/>
      <c r="N28" s="45">
        <v>120000</v>
      </c>
      <c r="O28" s="45">
        <v>200000</v>
      </c>
      <c r="P28" s="45"/>
      <c r="Q28" s="45"/>
      <c r="R28" s="45"/>
      <c r="S28" s="45"/>
      <c r="T28" s="45"/>
      <c r="U28" s="45"/>
      <c r="V28" s="45"/>
      <c r="W28" s="45"/>
      <c r="X28" s="67">
        <f t="shared" si="8"/>
        <v>320000</v>
      </c>
      <c r="Y28" s="81">
        <f t="shared" si="9"/>
        <v>0</v>
      </c>
    </row>
    <row r="29" spans="1:25" ht="21" customHeight="1">
      <c r="A29" s="1"/>
      <c r="B29" s="21"/>
      <c r="C29" s="58" t="s">
        <v>60</v>
      </c>
      <c r="D29" s="33">
        <f t="shared" si="6"/>
        <v>250000</v>
      </c>
      <c r="E29" s="30"/>
      <c r="F29" s="33">
        <f t="shared" si="7"/>
        <v>250000</v>
      </c>
      <c r="G29" s="33">
        <v>250000</v>
      </c>
      <c r="H29" s="25">
        <f>20000</f>
        <v>20000</v>
      </c>
      <c r="I29" s="50">
        <f>H29/D29*100</f>
        <v>8</v>
      </c>
      <c r="J29" s="79">
        <f t="shared" si="4"/>
        <v>8</v>
      </c>
      <c r="K29" s="56">
        <f t="shared" si="5"/>
        <v>230000</v>
      </c>
      <c r="L29" s="57"/>
      <c r="M29" s="45"/>
      <c r="N29" s="45">
        <v>250000</v>
      </c>
      <c r="O29" s="45"/>
      <c r="P29" s="45"/>
      <c r="Q29" s="45"/>
      <c r="R29" s="45"/>
      <c r="S29" s="45"/>
      <c r="T29" s="45"/>
      <c r="U29" s="45"/>
      <c r="V29" s="45"/>
      <c r="W29" s="45"/>
      <c r="X29" s="67">
        <f t="shared" si="8"/>
        <v>250000</v>
      </c>
      <c r="Y29" s="81">
        <f t="shared" si="9"/>
        <v>0</v>
      </c>
    </row>
    <row r="30" spans="1:25" ht="21" customHeight="1">
      <c r="A30" s="1"/>
      <c r="B30" s="21"/>
      <c r="C30" s="58" t="s">
        <v>117</v>
      </c>
      <c r="D30" s="33">
        <f t="shared" si="6"/>
        <v>700000</v>
      </c>
      <c r="E30" s="30"/>
      <c r="F30" s="33">
        <f t="shared" si="7"/>
        <v>700000</v>
      </c>
      <c r="G30" s="33">
        <f>700000</f>
        <v>700000</v>
      </c>
      <c r="H30" s="25"/>
      <c r="I30" s="50"/>
      <c r="J30" s="79"/>
      <c r="K30" s="56">
        <f t="shared" si="5"/>
        <v>0</v>
      </c>
      <c r="L30" s="57"/>
      <c r="M30" s="45"/>
      <c r="N30" s="45"/>
      <c r="O30" s="45"/>
      <c r="P30" s="45"/>
      <c r="Q30" s="45"/>
      <c r="R30" s="45"/>
      <c r="S30" s="45">
        <v>700000</v>
      </c>
      <c r="T30" s="45"/>
      <c r="U30" s="45"/>
      <c r="V30" s="45"/>
      <c r="W30" s="45"/>
      <c r="X30" s="67">
        <f t="shared" si="8"/>
        <v>700000</v>
      </c>
      <c r="Y30" s="81">
        <f t="shared" si="9"/>
        <v>0</v>
      </c>
    </row>
    <row r="31" spans="1:25" ht="24" customHeight="1">
      <c r="A31" s="1"/>
      <c r="B31" s="21"/>
      <c r="C31" s="58" t="s">
        <v>61</v>
      </c>
      <c r="D31" s="33">
        <f t="shared" si="6"/>
        <v>291000</v>
      </c>
      <c r="E31" s="30"/>
      <c r="F31" s="33">
        <f t="shared" si="7"/>
        <v>291000</v>
      </c>
      <c r="G31" s="33">
        <v>291000</v>
      </c>
      <c r="H31" s="25"/>
      <c r="I31" s="49"/>
      <c r="J31" s="79"/>
      <c r="K31" s="56">
        <f t="shared" si="5"/>
        <v>0</v>
      </c>
      <c r="L31" s="57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7">
        <f t="shared" si="8"/>
        <v>291000</v>
      </c>
      <c r="Y31" s="81">
        <f t="shared" si="9"/>
        <v>0</v>
      </c>
    </row>
    <row r="32" spans="1:25" ht="24" customHeight="1">
      <c r="A32" s="1"/>
      <c r="B32" s="21"/>
      <c r="C32" s="82" t="s">
        <v>115</v>
      </c>
      <c r="D32" s="33">
        <f t="shared" si="6"/>
        <v>700000</v>
      </c>
      <c r="E32" s="30"/>
      <c r="F32" s="33">
        <f t="shared" si="7"/>
        <v>700000</v>
      </c>
      <c r="G32" s="33">
        <f>700000</f>
        <v>700000</v>
      </c>
      <c r="H32" s="43"/>
      <c r="I32" s="49"/>
      <c r="J32" s="79">
        <f t="shared" si="4"/>
        <v>0</v>
      </c>
      <c r="K32" s="56">
        <f t="shared" si="5"/>
        <v>346801.38</v>
      </c>
      <c r="L32" s="57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</f>
        <v>4859.619999999995</v>
      </c>
      <c r="S32" s="45"/>
      <c r="T32" s="45">
        <f>100000</f>
        <v>100000</v>
      </c>
      <c r="U32" s="45"/>
      <c r="V32" s="45"/>
      <c r="W32" s="45">
        <v>248339</v>
      </c>
      <c r="X32" s="67">
        <f>SUM(L32:W32)</f>
        <v>700000</v>
      </c>
      <c r="Y32" s="81">
        <f t="shared" si="9"/>
        <v>0</v>
      </c>
    </row>
    <row r="33" spans="1:25" ht="24.75" customHeight="1">
      <c r="A33" s="1"/>
      <c r="B33" s="21"/>
      <c r="C33" s="58" t="s">
        <v>62</v>
      </c>
      <c r="D33" s="33">
        <f t="shared" si="6"/>
        <v>80000</v>
      </c>
      <c r="E33" s="30"/>
      <c r="F33" s="33">
        <f t="shared" si="7"/>
        <v>80000</v>
      </c>
      <c r="G33" s="33">
        <v>80000</v>
      </c>
      <c r="H33" s="43"/>
      <c r="I33" s="49"/>
      <c r="J33" s="79">
        <f t="shared" si="4"/>
        <v>0</v>
      </c>
      <c r="K33" s="56">
        <f t="shared" si="5"/>
        <v>80000</v>
      </c>
      <c r="L33" s="57"/>
      <c r="M33" s="45"/>
      <c r="N33" s="45">
        <v>80000</v>
      </c>
      <c r="O33" s="45"/>
      <c r="P33" s="45"/>
      <c r="Q33" s="45"/>
      <c r="R33" s="45"/>
      <c r="S33" s="45"/>
      <c r="T33" s="45"/>
      <c r="U33" s="45"/>
      <c r="V33" s="45"/>
      <c r="W33" s="45"/>
      <c r="X33" s="67">
        <f t="shared" si="8"/>
        <v>80000</v>
      </c>
      <c r="Y33" s="81">
        <f t="shared" si="9"/>
        <v>0</v>
      </c>
    </row>
    <row r="34" spans="1:25" ht="21" customHeight="1">
      <c r="A34" s="1"/>
      <c r="B34" s="21"/>
      <c r="C34" s="58" t="s">
        <v>63</v>
      </c>
      <c r="D34" s="33">
        <f t="shared" si="6"/>
        <v>7000000</v>
      </c>
      <c r="E34" s="30"/>
      <c r="F34" s="33">
        <f t="shared" si="7"/>
        <v>7000000</v>
      </c>
      <c r="G34" s="33">
        <v>7000000</v>
      </c>
      <c r="H34" s="25">
        <f>146000+118000</f>
        <v>264000</v>
      </c>
      <c r="I34" s="50">
        <f>H34/D34*100</f>
        <v>3.7714285714285714</v>
      </c>
      <c r="J34" s="79">
        <f t="shared" si="4"/>
        <v>52.800000000000004</v>
      </c>
      <c r="K34" s="56">
        <f t="shared" si="5"/>
        <v>236000</v>
      </c>
      <c r="L34" s="57"/>
      <c r="M34" s="45"/>
      <c r="N34" s="45"/>
      <c r="O34" s="45">
        <v>500000</v>
      </c>
      <c r="P34" s="45"/>
      <c r="Q34" s="45"/>
      <c r="R34" s="45">
        <v>4000000</v>
      </c>
      <c r="S34" s="45"/>
      <c r="T34" s="45"/>
      <c r="U34" s="45">
        <v>2500000</v>
      </c>
      <c r="V34" s="45"/>
      <c r="W34" s="45"/>
      <c r="X34" s="67">
        <f t="shared" si="8"/>
        <v>7000000</v>
      </c>
      <c r="Y34" s="81">
        <f t="shared" si="9"/>
        <v>0</v>
      </c>
    </row>
    <row r="35" spans="1:25" ht="26.25" customHeight="1">
      <c r="A35" s="1"/>
      <c r="B35" s="21"/>
      <c r="C35" s="58" t="s">
        <v>64</v>
      </c>
      <c r="D35" s="33">
        <f t="shared" si="6"/>
        <v>60000</v>
      </c>
      <c r="E35" s="30"/>
      <c r="F35" s="33">
        <f t="shared" si="7"/>
        <v>60000</v>
      </c>
      <c r="G35" s="33">
        <v>60000</v>
      </c>
      <c r="H35" s="43"/>
      <c r="I35" s="50"/>
      <c r="J35" s="79">
        <f t="shared" si="4"/>
        <v>0</v>
      </c>
      <c r="K35" s="56">
        <f t="shared" si="5"/>
        <v>60000</v>
      </c>
      <c r="L35" s="57"/>
      <c r="M35" s="45"/>
      <c r="N35" s="45">
        <v>60000</v>
      </c>
      <c r="O35" s="45"/>
      <c r="P35" s="45"/>
      <c r="Q35" s="45"/>
      <c r="R35" s="45"/>
      <c r="S35" s="45"/>
      <c r="T35" s="45"/>
      <c r="U35" s="45"/>
      <c r="V35" s="45"/>
      <c r="W35" s="45"/>
      <c r="X35" s="67">
        <f t="shared" si="8"/>
        <v>60000</v>
      </c>
      <c r="Y35" s="81">
        <f t="shared" si="9"/>
        <v>0</v>
      </c>
    </row>
    <row r="36" spans="1:25" ht="26.25" customHeight="1">
      <c r="A36" s="1"/>
      <c r="B36" s="21"/>
      <c r="C36" s="58" t="s">
        <v>65</v>
      </c>
      <c r="D36" s="33">
        <f t="shared" si="6"/>
        <v>90000</v>
      </c>
      <c r="E36" s="30"/>
      <c r="F36" s="33">
        <f t="shared" si="7"/>
        <v>90000</v>
      </c>
      <c r="G36" s="33">
        <v>90000</v>
      </c>
      <c r="H36" s="43"/>
      <c r="I36" s="50"/>
      <c r="J36" s="79">
        <f t="shared" si="4"/>
        <v>0</v>
      </c>
      <c r="K36" s="56">
        <f t="shared" si="5"/>
        <v>90000</v>
      </c>
      <c r="L36" s="57"/>
      <c r="M36" s="45"/>
      <c r="N36" s="45">
        <v>90000</v>
      </c>
      <c r="O36" s="45"/>
      <c r="P36" s="45"/>
      <c r="Q36" s="45"/>
      <c r="R36" s="45"/>
      <c r="S36" s="45"/>
      <c r="T36" s="45"/>
      <c r="U36" s="45"/>
      <c r="V36" s="45"/>
      <c r="W36" s="45"/>
      <c r="X36" s="67">
        <f t="shared" si="8"/>
        <v>90000</v>
      </c>
      <c r="Y36" s="81">
        <f t="shared" si="9"/>
        <v>0</v>
      </c>
    </row>
    <row r="37" spans="1:25" ht="26.25" customHeight="1">
      <c r="A37" s="1"/>
      <c r="B37" s="21"/>
      <c r="C37" s="58" t="s">
        <v>66</v>
      </c>
      <c r="D37" s="33">
        <f t="shared" si="6"/>
        <v>50000</v>
      </c>
      <c r="E37" s="30"/>
      <c r="F37" s="33">
        <f t="shared" si="7"/>
        <v>50000</v>
      </c>
      <c r="G37" s="33">
        <v>50000</v>
      </c>
      <c r="H37" s="43"/>
      <c r="I37" s="50"/>
      <c r="J37" s="79">
        <f t="shared" si="4"/>
        <v>0</v>
      </c>
      <c r="K37" s="56">
        <f t="shared" si="5"/>
        <v>50000</v>
      </c>
      <c r="L37" s="57"/>
      <c r="M37" s="45"/>
      <c r="N37" s="45">
        <v>50000</v>
      </c>
      <c r="O37" s="45"/>
      <c r="P37" s="45"/>
      <c r="Q37" s="45"/>
      <c r="R37" s="45"/>
      <c r="S37" s="45"/>
      <c r="T37" s="45"/>
      <c r="U37" s="45"/>
      <c r="V37" s="45"/>
      <c r="W37" s="45"/>
      <c r="X37" s="67">
        <f t="shared" si="8"/>
        <v>50000</v>
      </c>
      <c r="Y37" s="81">
        <f t="shared" si="9"/>
        <v>0</v>
      </c>
    </row>
    <row r="38" spans="1:25" ht="23.25" customHeight="1">
      <c r="A38" s="1"/>
      <c r="B38" s="21"/>
      <c r="C38" s="58" t="s">
        <v>67</v>
      </c>
      <c r="D38" s="33">
        <f t="shared" si="6"/>
        <v>23000000</v>
      </c>
      <c r="E38" s="30"/>
      <c r="F38" s="33">
        <f t="shared" si="7"/>
        <v>23000000</v>
      </c>
      <c r="G38" s="33">
        <v>23000000</v>
      </c>
      <c r="H38" s="25">
        <f>250000+350000</f>
        <v>600000</v>
      </c>
      <c r="I38" s="50">
        <f>H38/D38*100</f>
        <v>2.608695652173913</v>
      </c>
      <c r="J38" s="79">
        <f t="shared" si="4"/>
        <v>100</v>
      </c>
      <c r="K38" s="56">
        <f t="shared" si="5"/>
        <v>0</v>
      </c>
      <c r="L38" s="57"/>
      <c r="M38" s="45"/>
      <c r="N38" s="45"/>
      <c r="O38" s="45">
        <f>500000+100000</f>
        <v>600000</v>
      </c>
      <c r="P38" s="45"/>
      <c r="Q38" s="45"/>
      <c r="R38" s="45">
        <f>12000000-100000</f>
        <v>11900000</v>
      </c>
      <c r="S38" s="45"/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7">
        <f t="shared" si="8"/>
        <v>23000000</v>
      </c>
      <c r="Y38" s="81">
        <f t="shared" si="9"/>
        <v>0</v>
      </c>
    </row>
    <row r="39" spans="1:25" ht="22.5" customHeight="1">
      <c r="A39" s="1"/>
      <c r="B39" s="21"/>
      <c r="C39" s="58" t="s">
        <v>68</v>
      </c>
      <c r="D39" s="33">
        <f t="shared" si="6"/>
        <v>1466600</v>
      </c>
      <c r="E39" s="30"/>
      <c r="F39" s="33">
        <f t="shared" si="7"/>
        <v>1466600</v>
      </c>
      <c r="G39" s="33">
        <f>1281600+185000</f>
        <v>1466600</v>
      </c>
      <c r="H39" s="25">
        <v>80000</v>
      </c>
      <c r="I39" s="50">
        <f>H39/D39*100</f>
        <v>5.4547933996999864</v>
      </c>
      <c r="J39" s="79">
        <f t="shared" si="4"/>
        <v>6.242197253433209</v>
      </c>
      <c r="K39" s="56">
        <f t="shared" si="5"/>
        <v>1201600</v>
      </c>
      <c r="L39" s="57"/>
      <c r="M39" s="45"/>
      <c r="N39" s="45">
        <v>100000</v>
      </c>
      <c r="O39" s="45">
        <v>681600</v>
      </c>
      <c r="P39" s="45">
        <v>500000</v>
      </c>
      <c r="Q39" s="45"/>
      <c r="R39" s="45"/>
      <c r="S39" s="45"/>
      <c r="T39" s="45"/>
      <c r="U39" s="45">
        <f>50000</f>
        <v>50000</v>
      </c>
      <c r="V39" s="45">
        <f>135000</f>
        <v>135000</v>
      </c>
      <c r="W39" s="45"/>
      <c r="X39" s="67">
        <f t="shared" si="8"/>
        <v>1466600</v>
      </c>
      <c r="Y39" s="81">
        <f t="shared" si="9"/>
        <v>0</v>
      </c>
    </row>
    <row r="40" spans="1:25" ht="22.5" customHeight="1">
      <c r="A40" s="1"/>
      <c r="B40" s="21"/>
      <c r="C40" s="24" t="s">
        <v>111</v>
      </c>
      <c r="D40" s="33">
        <f t="shared" si="6"/>
        <v>21885040</v>
      </c>
      <c r="E40" s="30"/>
      <c r="F40" s="33">
        <f t="shared" si="7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</f>
        <v>8056768.850000001</v>
      </c>
      <c r="I40" s="50">
        <f>H40/D40*100</f>
        <v>36.81404671867175</v>
      </c>
      <c r="J40" s="79">
        <f t="shared" si="4"/>
        <v>81.20504251720479</v>
      </c>
      <c r="K40" s="56">
        <f t="shared" si="5"/>
        <v>1864744.1499999994</v>
      </c>
      <c r="L40" s="57"/>
      <c r="M40" s="45"/>
      <c r="N40" s="45"/>
      <c r="O40" s="45">
        <v>3690333</v>
      </c>
      <c r="P40" s="45">
        <f>3309667+2921513</f>
        <v>6231180</v>
      </c>
      <c r="Q40" s="45"/>
      <c r="R40" s="45">
        <v>2700000</v>
      </c>
      <c r="S40" s="45">
        <f>7045000+413527</f>
        <v>7458527</v>
      </c>
      <c r="T40" s="45">
        <v>973488.25</v>
      </c>
      <c r="U40" s="45">
        <v>701511.75</v>
      </c>
      <c r="V40" s="45">
        <v>130000</v>
      </c>
      <c r="W40" s="45"/>
      <c r="X40" s="67">
        <f t="shared" si="8"/>
        <v>21885040</v>
      </c>
      <c r="Y40" s="81">
        <f t="shared" si="9"/>
        <v>0</v>
      </c>
    </row>
    <row r="41" spans="1:25" ht="23.25" customHeight="1">
      <c r="A41" s="1"/>
      <c r="B41" s="21"/>
      <c r="C41" s="58" t="s">
        <v>69</v>
      </c>
      <c r="D41" s="33">
        <f t="shared" si="6"/>
        <v>5000000</v>
      </c>
      <c r="E41" s="30"/>
      <c r="F41" s="33">
        <f t="shared" si="7"/>
        <v>5000000</v>
      </c>
      <c r="G41" s="33">
        <v>5000000</v>
      </c>
      <c r="H41" s="25">
        <f>108000+2394100+780000+290000</f>
        <v>3572100</v>
      </c>
      <c r="I41" s="50">
        <f>H41/D41*100</f>
        <v>71.44200000000001</v>
      </c>
      <c r="J41" s="79">
        <f t="shared" si="4"/>
        <v>89.3025</v>
      </c>
      <c r="K41" s="56">
        <f t="shared" si="5"/>
        <v>427900</v>
      </c>
      <c r="L41" s="57"/>
      <c r="M41" s="45"/>
      <c r="N41" s="45"/>
      <c r="O41" s="45">
        <v>2000000</v>
      </c>
      <c r="P41" s="45">
        <v>2000000</v>
      </c>
      <c r="Q41" s="45"/>
      <c r="R41" s="45">
        <v>500000</v>
      </c>
      <c r="S41" s="45"/>
      <c r="T41" s="45"/>
      <c r="U41" s="45"/>
      <c r="V41" s="45"/>
      <c r="W41" s="45">
        <v>500000</v>
      </c>
      <c r="X41" s="67">
        <f t="shared" si="8"/>
        <v>5000000</v>
      </c>
      <c r="Y41" s="81">
        <f t="shared" si="9"/>
        <v>0</v>
      </c>
    </row>
    <row r="42" spans="1:25" ht="23.25" customHeight="1">
      <c r="A42" s="1"/>
      <c r="B42" s="21"/>
      <c r="C42" s="58" t="s">
        <v>70</v>
      </c>
      <c r="D42" s="33">
        <f t="shared" si="6"/>
        <v>5000000</v>
      </c>
      <c r="E42" s="30"/>
      <c r="F42" s="33">
        <f t="shared" si="7"/>
        <v>5000000</v>
      </c>
      <c r="G42" s="33">
        <v>5000000</v>
      </c>
      <c r="H42" s="25">
        <f>173000+900000+31000+900000+32000+1100000+32000</f>
        <v>3168000</v>
      </c>
      <c r="I42" s="50">
        <f>H42/D42*100</f>
        <v>63.36000000000001</v>
      </c>
      <c r="J42" s="79">
        <f t="shared" si="4"/>
        <v>79.2</v>
      </c>
      <c r="K42" s="56">
        <f t="shared" si="5"/>
        <v>1832000</v>
      </c>
      <c r="L42" s="57"/>
      <c r="M42" s="45"/>
      <c r="N42" s="45">
        <v>400000</v>
      </c>
      <c r="O42" s="45">
        <v>2600000</v>
      </c>
      <c r="P42" s="45">
        <v>1000000</v>
      </c>
      <c r="Q42" s="45">
        <v>1000000</v>
      </c>
      <c r="R42" s="45"/>
      <c r="S42" s="45"/>
      <c r="T42" s="45"/>
      <c r="U42" s="45"/>
      <c r="V42" s="45"/>
      <c r="W42" s="45"/>
      <c r="X42" s="67">
        <f t="shared" si="8"/>
        <v>5000000</v>
      </c>
      <c r="Y42" s="81">
        <f t="shared" si="9"/>
        <v>0</v>
      </c>
    </row>
    <row r="43" spans="1:25" ht="23.25" customHeight="1">
      <c r="A43" s="1"/>
      <c r="B43" s="21"/>
      <c r="C43" s="82" t="s">
        <v>116</v>
      </c>
      <c r="D43" s="33">
        <f t="shared" si="6"/>
        <v>1500000</v>
      </c>
      <c r="E43" s="30"/>
      <c r="F43" s="33">
        <f t="shared" si="7"/>
        <v>1500000</v>
      </c>
      <c r="G43" s="33">
        <v>1500000</v>
      </c>
      <c r="H43" s="43"/>
      <c r="I43" s="49"/>
      <c r="J43" s="79"/>
      <c r="K43" s="56">
        <f t="shared" si="5"/>
        <v>0</v>
      </c>
      <c r="L43" s="57"/>
      <c r="M43" s="45"/>
      <c r="N43" s="45"/>
      <c r="O43" s="45"/>
      <c r="P43" s="45"/>
      <c r="Q43" s="45"/>
      <c r="R43" s="45"/>
      <c r="S43" s="45"/>
      <c r="T43" s="45"/>
      <c r="U43" s="45">
        <v>1500000</v>
      </c>
      <c r="V43" s="45"/>
      <c r="W43" s="45"/>
      <c r="X43" s="67">
        <f t="shared" si="8"/>
        <v>1500000</v>
      </c>
      <c r="Y43" s="81"/>
    </row>
    <row r="44" spans="1:25" ht="42" customHeight="1">
      <c r="A44" s="1"/>
      <c r="B44" s="21"/>
      <c r="C44" s="58" t="s">
        <v>71</v>
      </c>
      <c r="D44" s="33">
        <f t="shared" si="6"/>
        <v>1750000</v>
      </c>
      <c r="E44" s="30"/>
      <c r="F44" s="33">
        <f t="shared" si="7"/>
        <v>1750000</v>
      </c>
      <c r="G44" s="33">
        <v>1750000</v>
      </c>
      <c r="H44" s="25">
        <f>38000+1037000</f>
        <v>1075000</v>
      </c>
      <c r="I44" s="50">
        <f>H44/D44*100</f>
        <v>61.42857142857143</v>
      </c>
      <c r="J44" s="79">
        <f t="shared" si="4"/>
        <v>61.42857142857143</v>
      </c>
      <c r="K44" s="56">
        <f t="shared" si="5"/>
        <v>675000</v>
      </c>
      <c r="L44" s="57"/>
      <c r="M44" s="45"/>
      <c r="N44" s="45"/>
      <c r="O44" s="45">
        <f>1200000-100000</f>
        <v>1100000</v>
      </c>
      <c r="P44" s="45">
        <f>550000+100000</f>
        <v>650000</v>
      </c>
      <c r="Q44" s="45"/>
      <c r="R44" s="45"/>
      <c r="S44" s="45"/>
      <c r="T44" s="45"/>
      <c r="U44" s="45"/>
      <c r="V44" s="45"/>
      <c r="W44" s="45"/>
      <c r="X44" s="67">
        <f t="shared" si="8"/>
        <v>1750000</v>
      </c>
      <c r="Y44" s="81">
        <f t="shared" si="9"/>
        <v>0</v>
      </c>
    </row>
    <row r="45" spans="1:25" ht="24" customHeight="1">
      <c r="A45" s="1"/>
      <c r="B45" s="21"/>
      <c r="C45" s="44" t="s">
        <v>40</v>
      </c>
      <c r="D45" s="25">
        <f>F45</f>
        <v>6700000</v>
      </c>
      <c r="E45" s="27"/>
      <c r="F45" s="25">
        <f>G45</f>
        <v>6700000</v>
      </c>
      <c r="G45" s="45">
        <v>6700000</v>
      </c>
      <c r="H45" s="25">
        <f>3263175+1196936+1083633.68</f>
        <v>5543744.68</v>
      </c>
      <c r="I45" s="50">
        <f>H45/D45*100</f>
        <v>82.74245791044775</v>
      </c>
      <c r="J45" s="79">
        <f t="shared" si="4"/>
        <v>82.74245791044775</v>
      </c>
      <c r="K45" s="56">
        <f t="shared" si="5"/>
        <v>1156255.3200000003</v>
      </c>
      <c r="L45" s="64"/>
      <c r="M45" s="45"/>
      <c r="N45" s="45">
        <v>4000000</v>
      </c>
      <c r="O45" s="45">
        <v>2700000</v>
      </c>
      <c r="P45" s="45"/>
      <c r="Q45" s="45"/>
      <c r="R45" s="64"/>
      <c r="S45" s="64"/>
      <c r="T45" s="64"/>
      <c r="U45" s="64"/>
      <c r="V45" s="64"/>
      <c r="W45" s="64"/>
      <c r="X45" s="67">
        <f t="shared" si="8"/>
        <v>6700000</v>
      </c>
      <c r="Y45" s="81">
        <f t="shared" si="9"/>
        <v>0</v>
      </c>
    </row>
    <row r="46" spans="1:25" ht="22.5" customHeight="1">
      <c r="A46" s="1"/>
      <c r="B46" s="21"/>
      <c r="C46" s="44" t="s">
        <v>41</v>
      </c>
      <c r="D46" s="25">
        <f>F46</f>
        <v>5000000</v>
      </c>
      <c r="E46" s="27"/>
      <c r="F46" s="25">
        <f>G46</f>
        <v>5000000</v>
      </c>
      <c r="G46" s="45">
        <f>10000000-5000000</f>
        <v>5000000</v>
      </c>
      <c r="H46" s="25">
        <f>43726+73807</f>
        <v>117533</v>
      </c>
      <c r="I46" s="50">
        <f>H46/D46*100</f>
        <v>2.35066</v>
      </c>
      <c r="J46" s="79">
        <f t="shared" si="4"/>
        <v>4.249717789494465</v>
      </c>
      <c r="K46" s="56">
        <f t="shared" si="5"/>
        <v>2648133</v>
      </c>
      <c r="L46" s="64"/>
      <c r="M46" s="45"/>
      <c r="N46" s="45">
        <v>500000</v>
      </c>
      <c r="O46" s="45">
        <f>4500000-4600000</f>
        <v>-100000</v>
      </c>
      <c r="P46" s="45">
        <v>2365666</v>
      </c>
      <c r="Q46" s="45">
        <f>2000000-2000000</f>
        <v>0</v>
      </c>
      <c r="R46" s="64">
        <f>4300000-2700000</f>
        <v>1600000</v>
      </c>
      <c r="S46" s="64">
        <f>2300000-2300000</f>
        <v>0</v>
      </c>
      <c r="T46" s="64"/>
      <c r="U46" s="64">
        <v>634334</v>
      </c>
      <c r="V46" s="64"/>
      <c r="W46" s="64"/>
      <c r="X46" s="67">
        <f t="shared" si="8"/>
        <v>5000000</v>
      </c>
      <c r="Y46" s="81">
        <f t="shared" si="9"/>
        <v>0</v>
      </c>
    </row>
    <row r="47" spans="1:25" ht="22.5" customHeight="1">
      <c r="A47" s="1"/>
      <c r="B47" s="59"/>
      <c r="C47" s="58" t="s">
        <v>72</v>
      </c>
      <c r="D47" s="25">
        <f>F47</f>
        <v>7000000</v>
      </c>
      <c r="E47" s="27"/>
      <c r="F47" s="25">
        <f>G47</f>
        <v>7000000</v>
      </c>
      <c r="G47" s="45">
        <v>7000000</v>
      </c>
      <c r="H47" s="25">
        <f>73140</f>
        <v>73140</v>
      </c>
      <c r="I47" s="50">
        <f>H47/D47*100</f>
        <v>1.044857142857143</v>
      </c>
      <c r="J47" s="79">
        <f t="shared" si="4"/>
        <v>8.11764705882353</v>
      </c>
      <c r="K47" s="56">
        <f t="shared" si="5"/>
        <v>3464194</v>
      </c>
      <c r="L47" s="64"/>
      <c r="M47" s="64"/>
      <c r="N47" s="64"/>
      <c r="O47" s="64">
        <f>755868.99-512000</f>
        <v>243868.99</v>
      </c>
      <c r="P47" s="64">
        <f>1600000+2244131.01-2087000-1100000</f>
        <v>657131.0099999998</v>
      </c>
      <c r="Q47" s="64">
        <f>1000000+1000000+261334+375000</f>
        <v>2636334</v>
      </c>
      <c r="R47" s="64">
        <f>400000+512000+201333+375000</f>
        <v>1488333</v>
      </c>
      <c r="S47" s="64">
        <f>733333+150000</f>
        <v>883333</v>
      </c>
      <c r="T47" s="64">
        <f>833334+200000</f>
        <v>1033334</v>
      </c>
      <c r="U47" s="64">
        <v>57666</v>
      </c>
      <c r="V47" s="64"/>
      <c r="W47" s="64"/>
      <c r="X47" s="67">
        <f t="shared" si="8"/>
        <v>7000000</v>
      </c>
      <c r="Y47" s="81">
        <f t="shared" si="9"/>
        <v>0</v>
      </c>
    </row>
    <row r="48" spans="1:25" s="16" customFormat="1" ht="24" customHeight="1">
      <c r="A48" s="85" t="s">
        <v>30</v>
      </c>
      <c r="B48" s="86"/>
      <c r="C48" s="86"/>
      <c r="D48" s="86"/>
      <c r="E48" s="86"/>
      <c r="F48" s="86"/>
      <c r="G48" s="86"/>
      <c r="H48" s="86"/>
      <c r="I48" s="86"/>
      <c r="J48" s="74"/>
      <c r="K48" s="56"/>
      <c r="X48" s="72"/>
      <c r="Y48" s="81"/>
    </row>
    <row r="49" spans="1:25" s="16" customFormat="1" ht="36" customHeight="1">
      <c r="A49" s="17">
        <v>2</v>
      </c>
      <c r="B49" s="18"/>
      <c r="C49" s="19" t="s">
        <v>17</v>
      </c>
      <c r="D49" s="20">
        <f>D50</f>
        <v>76494680</v>
      </c>
      <c r="E49" s="20"/>
      <c r="F49" s="20">
        <f>F50</f>
        <v>76494680</v>
      </c>
      <c r="G49" s="20">
        <f>G50</f>
        <v>76494680</v>
      </c>
      <c r="H49" s="20">
        <f>H50</f>
        <v>12857295.290000001</v>
      </c>
      <c r="I49" s="71">
        <f>H49/D49*100</f>
        <v>16.808090824093913</v>
      </c>
      <c r="J49" s="80"/>
      <c r="K49" s="56"/>
      <c r="X49" s="72"/>
      <c r="Y49" s="81"/>
    </row>
    <row r="50" spans="1:25" s="16" customFormat="1" ht="19.5" customHeight="1">
      <c r="A50" s="1"/>
      <c r="B50" s="29" t="s">
        <v>31</v>
      </c>
      <c r="C50" s="29" t="s">
        <v>31</v>
      </c>
      <c r="D50" s="30">
        <f>SUM(D51:D98)</f>
        <v>76494680</v>
      </c>
      <c r="E50" s="30"/>
      <c r="F50" s="30">
        <f>SUM(F51:F98)</f>
        <v>76494680</v>
      </c>
      <c r="G50" s="30">
        <f>SUM(G51:G98)</f>
        <v>76494680</v>
      </c>
      <c r="H50" s="30">
        <f>SUM(H51:H98)</f>
        <v>12857295.290000001</v>
      </c>
      <c r="I50" s="52">
        <f>H50/D50*100</f>
        <v>16.808090824093913</v>
      </c>
      <c r="J50" s="79">
        <f>H50/(L50+M50+N50+O50+P50)*100</f>
        <v>94.29975316057119</v>
      </c>
      <c r="K50" s="56">
        <f>L50+M50+N50+O50+P50+Q50-H50</f>
        <v>14206429.88</v>
      </c>
      <c r="L50" s="66">
        <f>SUM(L51:L98)</f>
        <v>0</v>
      </c>
      <c r="M50" s="66">
        <f aca="true" t="shared" si="10" ref="M50:X50">SUM(M51:M98)</f>
        <v>2416000</v>
      </c>
      <c r="N50" s="66">
        <f>SUM(N51:N98)</f>
        <v>3584000</v>
      </c>
      <c r="O50" s="66">
        <f t="shared" si="10"/>
        <v>640500</v>
      </c>
      <c r="P50" s="66">
        <f t="shared" si="10"/>
        <v>6993995.17</v>
      </c>
      <c r="Q50" s="66">
        <f t="shared" si="10"/>
        <v>13429230</v>
      </c>
      <c r="R50" s="66">
        <f t="shared" si="10"/>
        <v>10474000</v>
      </c>
      <c r="S50" s="66">
        <f t="shared" si="10"/>
        <v>9785470.26</v>
      </c>
      <c r="T50" s="66">
        <f t="shared" si="10"/>
        <v>3044188.6100000003</v>
      </c>
      <c r="U50" s="66">
        <f t="shared" si="10"/>
        <v>8989445.91</v>
      </c>
      <c r="V50" s="66">
        <f t="shared" si="10"/>
        <v>12973734.219999999</v>
      </c>
      <c r="W50" s="66">
        <f>SUM(W51:W98)</f>
        <v>4164115.8299999996</v>
      </c>
      <c r="X50" s="66">
        <f t="shared" si="10"/>
        <v>76494680</v>
      </c>
      <c r="Y50" s="81">
        <f t="shared" si="9"/>
        <v>0</v>
      </c>
    </row>
    <row r="51" spans="1:25" s="16" customFormat="1" ht="40.5" customHeight="1">
      <c r="A51" s="1"/>
      <c r="B51" s="29"/>
      <c r="C51" s="31" t="s">
        <v>32</v>
      </c>
      <c r="D51" s="32">
        <f aca="true" t="shared" si="11" ref="D51:D87">F51</f>
        <v>768000</v>
      </c>
      <c r="E51" s="30"/>
      <c r="F51" s="25">
        <f aca="true" t="shared" si="12" ref="F51:F98">G51</f>
        <v>768000</v>
      </c>
      <c r="G51" s="33">
        <f>192000+576000</f>
        <v>768000</v>
      </c>
      <c r="H51" s="25">
        <f>81260+1427.14+45242+45091.14+234240.07</f>
        <v>407260.35</v>
      </c>
      <c r="I51" s="50">
        <f>H51/D51*100</f>
        <v>53.02869140625</v>
      </c>
      <c r="J51" s="79">
        <f>H51/(L51+M51+N51+O51+P51)*100</f>
        <v>100</v>
      </c>
      <c r="K51" s="56">
        <f aca="true" t="shared" si="13" ref="K51:K98">L51+M51+N51+O51+P51+Q51-H51</f>
        <v>0</v>
      </c>
      <c r="L51" s="64"/>
      <c r="M51" s="64">
        <v>92000</v>
      </c>
      <c r="N51" s="64">
        <v>100000</v>
      </c>
      <c r="O51" s="64">
        <v>300000</v>
      </c>
      <c r="P51" s="64">
        <f>276000-360739.65</f>
        <v>-84739.65000000002</v>
      </c>
      <c r="Q51" s="64"/>
      <c r="R51" s="64"/>
      <c r="S51" s="64"/>
      <c r="T51" s="64"/>
      <c r="U51" s="64"/>
      <c r="V51" s="64"/>
      <c r="W51" s="64">
        <f>360739.65</f>
        <v>360739.65</v>
      </c>
      <c r="X51" s="64">
        <f>SUM(L51:W51)</f>
        <v>768000</v>
      </c>
      <c r="Y51" s="81">
        <f t="shared" si="9"/>
        <v>0</v>
      </c>
    </row>
    <row r="52" spans="1:25" s="16" customFormat="1" ht="23.25" customHeight="1">
      <c r="A52" s="1"/>
      <c r="B52" s="29"/>
      <c r="C52" s="61" t="s">
        <v>73</v>
      </c>
      <c r="D52" s="32">
        <f t="shared" si="11"/>
        <v>164000</v>
      </c>
      <c r="E52" s="30"/>
      <c r="F52" s="25">
        <f t="shared" si="12"/>
        <v>164000</v>
      </c>
      <c r="G52" s="32">
        <v>164000</v>
      </c>
      <c r="H52" s="25"/>
      <c r="I52" s="50"/>
      <c r="J52" s="79"/>
      <c r="K52" s="56">
        <f t="shared" si="13"/>
        <v>64000</v>
      </c>
      <c r="L52" s="64"/>
      <c r="M52" s="64"/>
      <c r="N52" s="64"/>
      <c r="O52" s="64">
        <v>50000</v>
      </c>
      <c r="P52" s="64">
        <f>50000-100000</f>
        <v>-50000</v>
      </c>
      <c r="Q52" s="64">
        <v>64000</v>
      </c>
      <c r="R52" s="64"/>
      <c r="S52" s="64"/>
      <c r="T52" s="64"/>
      <c r="U52" s="64"/>
      <c r="V52" s="64"/>
      <c r="W52" s="64">
        <f>100000</f>
        <v>100000</v>
      </c>
      <c r="X52" s="64">
        <f aca="true" t="shared" si="14" ref="X52:X98">SUM(L52:W52)</f>
        <v>164000</v>
      </c>
      <c r="Y52" s="81">
        <f t="shared" si="9"/>
        <v>0</v>
      </c>
    </row>
    <row r="53" spans="1:25" s="16" customFormat="1" ht="26.25" customHeight="1">
      <c r="A53" s="1"/>
      <c r="B53" s="29"/>
      <c r="C53" s="61" t="s">
        <v>74</v>
      </c>
      <c r="D53" s="32">
        <f t="shared" si="11"/>
        <v>109800</v>
      </c>
      <c r="E53" s="30"/>
      <c r="F53" s="25">
        <f t="shared" si="12"/>
        <v>109800</v>
      </c>
      <c r="G53" s="32">
        <v>109800</v>
      </c>
      <c r="H53" s="25"/>
      <c r="I53" s="50"/>
      <c r="J53" s="79"/>
      <c r="K53" s="56">
        <f t="shared" si="13"/>
        <v>0</v>
      </c>
      <c r="L53" s="64"/>
      <c r="M53" s="64"/>
      <c r="N53" s="64"/>
      <c r="O53" s="64"/>
      <c r="P53" s="64">
        <f>109800-109800</f>
        <v>0</v>
      </c>
      <c r="Q53" s="64"/>
      <c r="R53" s="64"/>
      <c r="S53" s="64"/>
      <c r="T53" s="64"/>
      <c r="U53" s="64"/>
      <c r="V53" s="64"/>
      <c r="W53" s="64">
        <f>109800</f>
        <v>109800</v>
      </c>
      <c r="X53" s="64">
        <f t="shared" si="14"/>
        <v>109800</v>
      </c>
      <c r="Y53" s="81">
        <f t="shared" si="9"/>
        <v>0</v>
      </c>
    </row>
    <row r="54" spans="1:25" s="16" customFormat="1" ht="40.5" customHeight="1">
      <c r="A54" s="1"/>
      <c r="B54" s="29"/>
      <c r="C54" s="61" t="s">
        <v>75</v>
      </c>
      <c r="D54" s="32">
        <f t="shared" si="11"/>
        <v>25280</v>
      </c>
      <c r="E54" s="30"/>
      <c r="F54" s="25">
        <f t="shared" si="12"/>
        <v>25280</v>
      </c>
      <c r="G54" s="32">
        <v>25280</v>
      </c>
      <c r="H54" s="25"/>
      <c r="I54" s="50"/>
      <c r="J54" s="79"/>
      <c r="K54" s="56">
        <f t="shared" si="13"/>
        <v>25280</v>
      </c>
      <c r="L54" s="64"/>
      <c r="M54" s="64"/>
      <c r="N54" s="64"/>
      <c r="O54" s="64"/>
      <c r="P54" s="64"/>
      <c r="Q54" s="64">
        <v>25280</v>
      </c>
      <c r="R54" s="64"/>
      <c r="S54" s="64"/>
      <c r="T54" s="64"/>
      <c r="U54" s="64"/>
      <c r="V54" s="64"/>
      <c r="W54" s="64"/>
      <c r="X54" s="64">
        <f t="shared" si="14"/>
        <v>25280</v>
      </c>
      <c r="Y54" s="81">
        <f t="shared" si="9"/>
        <v>0</v>
      </c>
    </row>
    <row r="55" spans="1:25" s="16" customFormat="1" ht="24.75" customHeight="1">
      <c r="A55" s="1"/>
      <c r="B55" s="29"/>
      <c r="C55" s="61" t="s">
        <v>76</v>
      </c>
      <c r="D55" s="32">
        <f t="shared" si="11"/>
        <v>600000</v>
      </c>
      <c r="E55" s="30"/>
      <c r="F55" s="25">
        <f t="shared" si="12"/>
        <v>600000</v>
      </c>
      <c r="G55" s="32">
        <v>600000</v>
      </c>
      <c r="H55" s="25"/>
      <c r="I55" s="50"/>
      <c r="J55" s="79"/>
      <c r="K55" s="56">
        <f t="shared" si="13"/>
        <v>0</v>
      </c>
      <c r="L55" s="64"/>
      <c r="M55" s="64"/>
      <c r="N55" s="64"/>
      <c r="O55" s="64"/>
      <c r="P55" s="65">
        <f>30000-30000</f>
        <v>0</v>
      </c>
      <c r="Q55" s="65"/>
      <c r="R55" s="65"/>
      <c r="S55" s="65">
        <v>570000</v>
      </c>
      <c r="T55" s="65"/>
      <c r="U55" s="65"/>
      <c r="V55" s="65"/>
      <c r="W55" s="65">
        <f>30000</f>
        <v>30000</v>
      </c>
      <c r="X55" s="64">
        <f t="shared" si="14"/>
        <v>600000</v>
      </c>
      <c r="Y55" s="81">
        <f t="shared" si="9"/>
        <v>0</v>
      </c>
    </row>
    <row r="56" spans="1:25" s="16" customFormat="1" ht="24.75" customHeight="1">
      <c r="A56" s="1"/>
      <c r="B56" s="29"/>
      <c r="C56" s="61" t="s">
        <v>77</v>
      </c>
      <c r="D56" s="32">
        <f t="shared" si="11"/>
        <v>850000</v>
      </c>
      <c r="E56" s="30"/>
      <c r="F56" s="25">
        <f t="shared" si="12"/>
        <v>850000</v>
      </c>
      <c r="G56" s="32">
        <v>850000</v>
      </c>
      <c r="H56" s="25"/>
      <c r="I56" s="50"/>
      <c r="J56" s="79"/>
      <c r="K56" s="56">
        <f t="shared" si="13"/>
        <v>0</v>
      </c>
      <c r="L56" s="64"/>
      <c r="M56" s="64"/>
      <c r="N56" s="64"/>
      <c r="O56" s="64"/>
      <c r="P56" s="65">
        <f>30000-30000</f>
        <v>0</v>
      </c>
      <c r="Q56" s="65"/>
      <c r="R56" s="65"/>
      <c r="S56" s="65">
        <v>290103.26</v>
      </c>
      <c r="T56" s="65">
        <v>15002.85</v>
      </c>
      <c r="U56" s="65">
        <v>514893.89</v>
      </c>
      <c r="V56" s="65"/>
      <c r="W56" s="65">
        <f>30000</f>
        <v>30000</v>
      </c>
      <c r="X56" s="64">
        <f t="shared" si="14"/>
        <v>850000</v>
      </c>
      <c r="Y56" s="81">
        <f t="shared" si="9"/>
        <v>0</v>
      </c>
    </row>
    <row r="57" spans="1:25" s="16" customFormat="1" ht="22.5" customHeight="1">
      <c r="A57" s="1"/>
      <c r="B57" s="29"/>
      <c r="C57" s="61" t="s">
        <v>78</v>
      </c>
      <c r="D57" s="32">
        <f t="shared" si="11"/>
        <v>750000</v>
      </c>
      <c r="E57" s="30"/>
      <c r="F57" s="25">
        <f t="shared" si="12"/>
        <v>750000</v>
      </c>
      <c r="G57" s="32">
        <v>750000</v>
      </c>
      <c r="H57" s="25"/>
      <c r="I57" s="50"/>
      <c r="J57" s="79"/>
      <c r="K57" s="56">
        <f t="shared" si="13"/>
        <v>0</v>
      </c>
      <c r="L57" s="64"/>
      <c r="M57" s="64"/>
      <c r="N57" s="64"/>
      <c r="O57" s="64"/>
      <c r="P57" s="65">
        <f>30000-30000</f>
        <v>0</v>
      </c>
      <c r="Q57" s="65"/>
      <c r="R57" s="65"/>
      <c r="S57" s="65"/>
      <c r="T57" s="65"/>
      <c r="U57" s="65">
        <v>494552.02</v>
      </c>
      <c r="V57" s="65">
        <v>225447.98</v>
      </c>
      <c r="W57" s="65">
        <f>30000</f>
        <v>30000</v>
      </c>
      <c r="X57" s="64">
        <f t="shared" si="14"/>
        <v>750000</v>
      </c>
      <c r="Y57" s="81">
        <f t="shared" si="9"/>
        <v>0</v>
      </c>
    </row>
    <row r="58" spans="1:25" s="16" customFormat="1" ht="40.5" customHeight="1">
      <c r="A58" s="1"/>
      <c r="B58" s="29"/>
      <c r="C58" s="61" t="s">
        <v>118</v>
      </c>
      <c r="D58" s="32">
        <f t="shared" si="11"/>
        <v>1180000</v>
      </c>
      <c r="E58" s="30"/>
      <c r="F58" s="25">
        <f t="shared" si="12"/>
        <v>1180000</v>
      </c>
      <c r="G58" s="32">
        <f>850000+330000</f>
        <v>1180000</v>
      </c>
      <c r="H58" s="25"/>
      <c r="I58" s="50"/>
      <c r="J58" s="79"/>
      <c r="K58" s="56">
        <f t="shared" si="13"/>
        <v>30000</v>
      </c>
      <c r="L58" s="64"/>
      <c r="M58" s="64"/>
      <c r="N58" s="64"/>
      <c r="O58" s="64"/>
      <c r="P58" s="65">
        <f>30000-30000+30000</f>
        <v>30000</v>
      </c>
      <c r="Q58" s="65"/>
      <c r="R58" s="65"/>
      <c r="S58" s="65">
        <v>300000</v>
      </c>
      <c r="T58" s="65">
        <v>300000</v>
      </c>
      <c r="U58" s="65">
        <v>520000</v>
      </c>
      <c r="V58" s="65"/>
      <c r="W58" s="65">
        <f>30000</f>
        <v>30000</v>
      </c>
      <c r="X58" s="64">
        <f t="shared" si="14"/>
        <v>1180000</v>
      </c>
      <c r="Y58" s="81">
        <f t="shared" si="9"/>
        <v>0</v>
      </c>
    </row>
    <row r="59" spans="1:25" s="16" customFormat="1" ht="40.5" customHeight="1" hidden="1">
      <c r="A59" s="1"/>
      <c r="B59" s="29"/>
      <c r="C59" s="61" t="s">
        <v>79</v>
      </c>
      <c r="D59" s="32">
        <f t="shared" si="11"/>
        <v>0</v>
      </c>
      <c r="E59" s="30"/>
      <c r="F59" s="25">
        <f t="shared" si="12"/>
        <v>0</v>
      </c>
      <c r="G59" s="32">
        <f>550000-550000</f>
        <v>0</v>
      </c>
      <c r="H59" s="25"/>
      <c r="I59" s="50"/>
      <c r="J59" s="79"/>
      <c r="K59" s="56">
        <f t="shared" si="13"/>
        <v>0</v>
      </c>
      <c r="L59" s="64"/>
      <c r="M59" s="64"/>
      <c r="N59" s="64"/>
      <c r="O59" s="64"/>
      <c r="P59" s="65">
        <f>30000-30000</f>
        <v>0</v>
      </c>
      <c r="Q59" s="65"/>
      <c r="R59" s="65"/>
      <c r="S59" s="65"/>
      <c r="T59" s="65">
        <f>520000-520000</f>
        <v>0</v>
      </c>
      <c r="U59" s="65"/>
      <c r="V59" s="65"/>
      <c r="W59" s="65">
        <f>30000-30000</f>
        <v>0</v>
      </c>
      <c r="X59" s="64">
        <f t="shared" si="14"/>
        <v>0</v>
      </c>
      <c r="Y59" s="81">
        <f t="shared" si="9"/>
        <v>0</v>
      </c>
    </row>
    <row r="60" spans="1:25" s="16" customFormat="1" ht="40.5" customHeight="1">
      <c r="A60" s="1"/>
      <c r="B60" s="29"/>
      <c r="C60" s="61" t="s">
        <v>80</v>
      </c>
      <c r="D60" s="32">
        <f t="shared" si="11"/>
        <v>120000</v>
      </c>
      <c r="E60" s="30"/>
      <c r="F60" s="25">
        <f t="shared" si="12"/>
        <v>120000</v>
      </c>
      <c r="G60" s="32">
        <v>120000</v>
      </c>
      <c r="H60" s="25"/>
      <c r="I60" s="50"/>
      <c r="J60" s="79"/>
      <c r="K60" s="56">
        <f t="shared" si="13"/>
        <v>0</v>
      </c>
      <c r="L60" s="64"/>
      <c r="M60" s="64"/>
      <c r="N60" s="64"/>
      <c r="O60" s="64">
        <v>50000</v>
      </c>
      <c r="P60" s="64">
        <f>70000-120000</f>
        <v>-50000</v>
      </c>
      <c r="Q60" s="64"/>
      <c r="R60" s="64"/>
      <c r="S60" s="64"/>
      <c r="T60" s="64"/>
      <c r="U60" s="64"/>
      <c r="V60" s="64"/>
      <c r="W60" s="64">
        <f>120000</f>
        <v>120000</v>
      </c>
      <c r="X60" s="64">
        <f t="shared" si="14"/>
        <v>120000</v>
      </c>
      <c r="Y60" s="81">
        <f t="shared" si="9"/>
        <v>0</v>
      </c>
    </row>
    <row r="61" spans="1:25" s="16" customFormat="1" ht="24.75" customHeight="1">
      <c r="A61" s="1"/>
      <c r="B61" s="29"/>
      <c r="C61" s="61" t="s">
        <v>81</v>
      </c>
      <c r="D61" s="32">
        <f t="shared" si="11"/>
        <v>128800</v>
      </c>
      <c r="E61" s="30"/>
      <c r="F61" s="25">
        <f t="shared" si="12"/>
        <v>128800</v>
      </c>
      <c r="G61" s="32">
        <v>128800</v>
      </c>
      <c r="H61" s="25"/>
      <c r="I61" s="50"/>
      <c r="J61" s="79"/>
      <c r="K61" s="56">
        <f t="shared" si="13"/>
        <v>0</v>
      </c>
      <c r="L61" s="64"/>
      <c r="M61" s="64"/>
      <c r="N61" s="64"/>
      <c r="O61" s="64"/>
      <c r="P61" s="64"/>
      <c r="Q61" s="64"/>
      <c r="R61" s="64"/>
      <c r="S61" s="64">
        <v>64400</v>
      </c>
      <c r="T61" s="64">
        <v>64400</v>
      </c>
      <c r="U61" s="64"/>
      <c r="V61" s="64"/>
      <c r="W61" s="64"/>
      <c r="X61" s="64">
        <f t="shared" si="14"/>
        <v>128800</v>
      </c>
      <c r="Y61" s="81">
        <f t="shared" si="9"/>
        <v>0</v>
      </c>
    </row>
    <row r="62" spans="1:25" s="16" customFormat="1" ht="23.25" customHeight="1">
      <c r="A62" s="1"/>
      <c r="B62" s="29"/>
      <c r="C62" s="61" t="s">
        <v>82</v>
      </c>
      <c r="D62" s="32">
        <f t="shared" si="11"/>
        <v>5000</v>
      </c>
      <c r="E62" s="30"/>
      <c r="F62" s="25">
        <f t="shared" si="12"/>
        <v>5000</v>
      </c>
      <c r="G62" s="32">
        <v>5000</v>
      </c>
      <c r="H62" s="25"/>
      <c r="I62" s="50"/>
      <c r="J62" s="79">
        <f>H62/(L62+M62+N62+O62+P62)*100</f>
        <v>0</v>
      </c>
      <c r="K62" s="56">
        <f t="shared" si="13"/>
        <v>5000</v>
      </c>
      <c r="L62" s="64"/>
      <c r="M62" s="64"/>
      <c r="N62" s="64"/>
      <c r="O62" s="64">
        <v>5000</v>
      </c>
      <c r="P62" s="64"/>
      <c r="Q62" s="64"/>
      <c r="R62" s="64"/>
      <c r="S62" s="64"/>
      <c r="T62" s="64"/>
      <c r="U62" s="64"/>
      <c r="V62" s="64"/>
      <c r="W62" s="64"/>
      <c r="X62" s="64">
        <f t="shared" si="14"/>
        <v>5000</v>
      </c>
      <c r="Y62" s="81">
        <f t="shared" si="9"/>
        <v>0</v>
      </c>
    </row>
    <row r="63" spans="1:25" s="16" customFormat="1" ht="24.75" customHeight="1">
      <c r="A63" s="1"/>
      <c r="B63" s="29"/>
      <c r="C63" s="60" t="s">
        <v>83</v>
      </c>
      <c r="D63" s="32">
        <f t="shared" si="11"/>
        <v>120000</v>
      </c>
      <c r="E63" s="30"/>
      <c r="F63" s="25">
        <f t="shared" si="12"/>
        <v>120000</v>
      </c>
      <c r="G63" s="33">
        <v>120000</v>
      </c>
      <c r="H63" s="25"/>
      <c r="I63" s="50"/>
      <c r="J63" s="79"/>
      <c r="K63" s="56">
        <f t="shared" si="13"/>
        <v>0</v>
      </c>
      <c r="L63" s="64"/>
      <c r="M63" s="64"/>
      <c r="N63" s="64"/>
      <c r="O63" s="64"/>
      <c r="P63" s="64">
        <f>120000-120000</f>
        <v>0</v>
      </c>
      <c r="Q63" s="64"/>
      <c r="R63" s="64"/>
      <c r="S63" s="64"/>
      <c r="T63" s="64"/>
      <c r="U63" s="64"/>
      <c r="V63" s="64"/>
      <c r="W63" s="64">
        <f>120000</f>
        <v>120000</v>
      </c>
      <c r="X63" s="64">
        <f t="shared" si="14"/>
        <v>120000</v>
      </c>
      <c r="Y63" s="81">
        <f t="shared" si="9"/>
        <v>0</v>
      </c>
    </row>
    <row r="64" spans="1:25" s="16" customFormat="1" ht="39.75" customHeight="1">
      <c r="A64" s="1"/>
      <c r="B64" s="29"/>
      <c r="C64" s="61" t="s">
        <v>84</v>
      </c>
      <c r="D64" s="32">
        <f t="shared" si="11"/>
        <v>500</v>
      </c>
      <c r="E64" s="30"/>
      <c r="F64" s="25">
        <f t="shared" si="12"/>
        <v>500</v>
      </c>
      <c r="G64" s="33">
        <v>500</v>
      </c>
      <c r="H64" s="25"/>
      <c r="I64" s="50"/>
      <c r="J64" s="79">
        <f>H64/(L64+M64+N64+O64+P64)*100</f>
        <v>0</v>
      </c>
      <c r="K64" s="56">
        <f t="shared" si="13"/>
        <v>500</v>
      </c>
      <c r="L64" s="64"/>
      <c r="M64" s="64"/>
      <c r="N64" s="64"/>
      <c r="O64" s="64">
        <v>500</v>
      </c>
      <c r="P64" s="64"/>
      <c r="Q64" s="64"/>
      <c r="R64" s="64"/>
      <c r="S64" s="64"/>
      <c r="T64" s="64"/>
      <c r="U64" s="64"/>
      <c r="V64" s="64"/>
      <c r="W64" s="64"/>
      <c r="X64" s="64">
        <f t="shared" si="14"/>
        <v>500</v>
      </c>
      <c r="Y64" s="81">
        <f t="shared" si="9"/>
        <v>0</v>
      </c>
    </row>
    <row r="65" spans="1:25" s="16" customFormat="1" ht="24.75" customHeight="1">
      <c r="A65" s="1"/>
      <c r="B65" s="29"/>
      <c r="C65" s="60" t="s">
        <v>85</v>
      </c>
      <c r="D65" s="32">
        <f t="shared" si="11"/>
        <v>89760</v>
      </c>
      <c r="E65" s="30"/>
      <c r="F65" s="25">
        <f t="shared" si="12"/>
        <v>89760</v>
      </c>
      <c r="G65" s="33">
        <v>89760</v>
      </c>
      <c r="H65" s="25"/>
      <c r="I65" s="50"/>
      <c r="J65" s="79"/>
      <c r="K65" s="56">
        <f t="shared" si="13"/>
        <v>0</v>
      </c>
      <c r="L65" s="64"/>
      <c r="M65" s="64"/>
      <c r="N65" s="64"/>
      <c r="O65" s="64"/>
      <c r="P65" s="64"/>
      <c r="Q65" s="64"/>
      <c r="R65" s="64"/>
      <c r="S65" s="64"/>
      <c r="T65" s="64">
        <v>89760</v>
      </c>
      <c r="U65" s="64"/>
      <c r="V65" s="64"/>
      <c r="W65" s="64"/>
      <c r="X65" s="64">
        <f t="shared" si="14"/>
        <v>89760</v>
      </c>
      <c r="Y65" s="81">
        <f t="shared" si="9"/>
        <v>0</v>
      </c>
    </row>
    <row r="66" spans="1:25" s="16" customFormat="1" ht="24.75" customHeight="1">
      <c r="A66" s="1"/>
      <c r="B66" s="29"/>
      <c r="C66" s="60" t="s">
        <v>86</v>
      </c>
      <c r="D66" s="32">
        <f t="shared" si="11"/>
        <v>50000</v>
      </c>
      <c r="E66" s="30"/>
      <c r="F66" s="25">
        <f t="shared" si="12"/>
        <v>50000</v>
      </c>
      <c r="G66" s="33">
        <v>50000</v>
      </c>
      <c r="H66" s="25"/>
      <c r="I66" s="50"/>
      <c r="J66" s="79"/>
      <c r="K66" s="56">
        <f t="shared" si="13"/>
        <v>50000</v>
      </c>
      <c r="L66" s="64"/>
      <c r="M66" s="64"/>
      <c r="N66" s="64"/>
      <c r="O66" s="64"/>
      <c r="P66" s="64"/>
      <c r="Q66" s="64">
        <v>50000</v>
      </c>
      <c r="R66" s="64"/>
      <c r="S66" s="64"/>
      <c r="T66" s="64"/>
      <c r="U66" s="64"/>
      <c r="V66" s="64"/>
      <c r="W66" s="64"/>
      <c r="X66" s="64">
        <f t="shared" si="14"/>
        <v>50000</v>
      </c>
      <c r="Y66" s="81">
        <f t="shared" si="9"/>
        <v>0</v>
      </c>
    </row>
    <row r="67" spans="1:25" s="16" customFormat="1" ht="24.75" customHeight="1">
      <c r="A67" s="1"/>
      <c r="B67" s="29"/>
      <c r="C67" s="31" t="s">
        <v>112</v>
      </c>
      <c r="D67" s="32">
        <f t="shared" si="11"/>
        <v>25000</v>
      </c>
      <c r="E67" s="30"/>
      <c r="F67" s="25">
        <f t="shared" si="12"/>
        <v>25000</v>
      </c>
      <c r="G67" s="33">
        <v>25000</v>
      </c>
      <c r="H67" s="25"/>
      <c r="I67" s="50"/>
      <c r="J67" s="79">
        <f>H67/(L67+M67+N67+O67+P67)*100</f>
        <v>0</v>
      </c>
      <c r="K67" s="56">
        <f t="shared" si="13"/>
        <v>5000</v>
      </c>
      <c r="L67" s="64"/>
      <c r="M67" s="64"/>
      <c r="N67" s="64"/>
      <c r="O67" s="64"/>
      <c r="P67" s="64">
        <v>5000</v>
      </c>
      <c r="Q67" s="64"/>
      <c r="R67" s="64">
        <v>20000</v>
      </c>
      <c r="S67" s="64"/>
      <c r="T67" s="64"/>
      <c r="U67" s="64"/>
      <c r="V67" s="64"/>
      <c r="W67" s="64"/>
      <c r="X67" s="64">
        <f t="shared" si="14"/>
        <v>25000</v>
      </c>
      <c r="Y67" s="81">
        <f t="shared" si="9"/>
        <v>0</v>
      </c>
    </row>
    <row r="68" spans="1:25" s="16" customFormat="1" ht="24.75" customHeight="1">
      <c r="A68" s="1"/>
      <c r="B68" s="29"/>
      <c r="C68" s="60" t="s">
        <v>87</v>
      </c>
      <c r="D68" s="32">
        <f t="shared" si="11"/>
        <v>200000</v>
      </c>
      <c r="E68" s="30"/>
      <c r="F68" s="25">
        <f t="shared" si="12"/>
        <v>200000</v>
      </c>
      <c r="G68" s="33">
        <v>200000</v>
      </c>
      <c r="H68" s="25">
        <f>60000</f>
        <v>60000</v>
      </c>
      <c r="I68" s="50">
        <f>H68/D68*100</f>
        <v>30</v>
      </c>
      <c r="J68" s="79">
        <f>H68/(L68+M68+N68+O68+P68)*100</f>
        <v>100</v>
      </c>
      <c r="K68" s="56">
        <f t="shared" si="13"/>
        <v>0</v>
      </c>
      <c r="L68" s="64"/>
      <c r="M68" s="64"/>
      <c r="N68" s="64"/>
      <c r="O68" s="64"/>
      <c r="P68" s="64">
        <v>60000</v>
      </c>
      <c r="Q68" s="64"/>
      <c r="R68" s="64">
        <f>65000-60000</f>
        <v>5000</v>
      </c>
      <c r="S68" s="64">
        <v>65000</v>
      </c>
      <c r="T68" s="64">
        <v>70000</v>
      </c>
      <c r="U68" s="64"/>
      <c r="V68" s="64"/>
      <c r="W68" s="64"/>
      <c r="X68" s="64">
        <f t="shared" si="14"/>
        <v>200000</v>
      </c>
      <c r="Y68" s="81">
        <f t="shared" si="9"/>
        <v>0</v>
      </c>
    </row>
    <row r="69" spans="1:25" s="16" customFormat="1" ht="24.75" customHeight="1">
      <c r="A69" s="1"/>
      <c r="B69" s="29"/>
      <c r="C69" s="60" t="s">
        <v>88</v>
      </c>
      <c r="D69" s="32">
        <f t="shared" si="11"/>
        <v>200000</v>
      </c>
      <c r="E69" s="30"/>
      <c r="F69" s="25">
        <f t="shared" si="12"/>
        <v>200000</v>
      </c>
      <c r="G69" s="33">
        <v>200000</v>
      </c>
      <c r="H69" s="25"/>
      <c r="I69" s="50"/>
      <c r="J69" s="79"/>
      <c r="K69" s="56">
        <f t="shared" si="13"/>
        <v>140000</v>
      </c>
      <c r="L69" s="64"/>
      <c r="M69" s="64"/>
      <c r="N69" s="64"/>
      <c r="O69" s="64">
        <v>60000</v>
      </c>
      <c r="P69" s="64">
        <f>-60000</f>
        <v>-60000</v>
      </c>
      <c r="Q69" s="64">
        <v>140000</v>
      </c>
      <c r="R69" s="64"/>
      <c r="S69" s="64"/>
      <c r="T69" s="64"/>
      <c r="U69" s="64"/>
      <c r="V69" s="64"/>
      <c r="W69" s="64">
        <f>60000</f>
        <v>60000</v>
      </c>
      <c r="X69" s="64">
        <f t="shared" si="14"/>
        <v>200000</v>
      </c>
      <c r="Y69" s="81">
        <f t="shared" si="9"/>
        <v>0</v>
      </c>
    </row>
    <row r="70" spans="1:25" s="16" customFormat="1" ht="24.75" customHeight="1">
      <c r="A70" s="1"/>
      <c r="B70" s="29"/>
      <c r="C70" s="60" t="s">
        <v>89</v>
      </c>
      <c r="D70" s="32">
        <f t="shared" si="11"/>
        <v>300000</v>
      </c>
      <c r="E70" s="30"/>
      <c r="F70" s="25">
        <f t="shared" si="12"/>
        <v>300000</v>
      </c>
      <c r="G70" s="33">
        <v>300000</v>
      </c>
      <c r="H70" s="25"/>
      <c r="I70" s="50"/>
      <c r="J70" s="79"/>
      <c r="K70" s="56">
        <f t="shared" si="13"/>
        <v>0</v>
      </c>
      <c r="L70" s="64"/>
      <c r="M70" s="64"/>
      <c r="N70" s="64">
        <v>100000</v>
      </c>
      <c r="O70" s="64"/>
      <c r="P70" s="64">
        <f>200000-300000</f>
        <v>-100000</v>
      </c>
      <c r="Q70" s="64"/>
      <c r="R70" s="64"/>
      <c r="S70" s="64"/>
      <c r="T70" s="64"/>
      <c r="U70" s="64"/>
      <c r="V70" s="64"/>
      <c r="W70" s="64">
        <f>300000</f>
        <v>300000</v>
      </c>
      <c r="X70" s="64">
        <f t="shared" si="14"/>
        <v>300000</v>
      </c>
      <c r="Y70" s="81">
        <f t="shared" si="9"/>
        <v>0</v>
      </c>
    </row>
    <row r="71" spans="1:25" s="16" customFormat="1" ht="24.75" customHeight="1">
      <c r="A71" s="1"/>
      <c r="B71" s="29"/>
      <c r="C71" s="62" t="s">
        <v>90</v>
      </c>
      <c r="D71" s="32">
        <f t="shared" si="11"/>
        <v>350000</v>
      </c>
      <c r="E71" s="30"/>
      <c r="F71" s="25">
        <f t="shared" si="12"/>
        <v>350000</v>
      </c>
      <c r="G71" s="33">
        <v>350000</v>
      </c>
      <c r="H71" s="25">
        <f>105000</f>
        <v>105000</v>
      </c>
      <c r="I71" s="50">
        <f>H71/D71*100</f>
        <v>30</v>
      </c>
      <c r="J71" s="79">
        <f>H71/(L71+M71+N71+O71+P71)*100</f>
        <v>100</v>
      </c>
      <c r="K71" s="56">
        <f t="shared" si="13"/>
        <v>0</v>
      </c>
      <c r="L71" s="64"/>
      <c r="M71" s="64"/>
      <c r="N71" s="64">
        <v>215000</v>
      </c>
      <c r="O71" s="64"/>
      <c r="P71" s="64">
        <f>-50000-60000</f>
        <v>-110000</v>
      </c>
      <c r="Q71" s="64"/>
      <c r="R71" s="64">
        <v>60000</v>
      </c>
      <c r="S71" s="64">
        <v>135000</v>
      </c>
      <c r="T71" s="64"/>
      <c r="U71" s="64"/>
      <c r="V71" s="64"/>
      <c r="W71" s="64">
        <v>50000</v>
      </c>
      <c r="X71" s="64">
        <f t="shared" si="14"/>
        <v>350000</v>
      </c>
      <c r="Y71" s="81">
        <f t="shared" si="9"/>
        <v>0</v>
      </c>
    </row>
    <row r="72" spans="1:25" s="16" customFormat="1" ht="24.75" customHeight="1">
      <c r="A72" s="1"/>
      <c r="B72" s="29"/>
      <c r="C72" s="61" t="s">
        <v>91</v>
      </c>
      <c r="D72" s="32">
        <f t="shared" si="11"/>
        <v>200000</v>
      </c>
      <c r="E72" s="30"/>
      <c r="F72" s="25">
        <f t="shared" si="12"/>
        <v>200000</v>
      </c>
      <c r="G72" s="33">
        <v>200000</v>
      </c>
      <c r="H72" s="25"/>
      <c r="I72" s="50"/>
      <c r="J72" s="79"/>
      <c r="K72" s="56">
        <f t="shared" si="13"/>
        <v>0</v>
      </c>
      <c r="L72" s="64"/>
      <c r="M72" s="64"/>
      <c r="N72" s="64">
        <v>60000</v>
      </c>
      <c r="O72" s="64"/>
      <c r="P72" s="64">
        <v>-60000</v>
      </c>
      <c r="Q72" s="64"/>
      <c r="R72" s="64">
        <v>30000</v>
      </c>
      <c r="S72" s="64">
        <f>21967+30000</f>
        <v>51967</v>
      </c>
      <c r="T72" s="64">
        <v>40000</v>
      </c>
      <c r="U72" s="64"/>
      <c r="V72" s="64"/>
      <c r="W72" s="64">
        <v>78033</v>
      </c>
      <c r="X72" s="64">
        <f t="shared" si="14"/>
        <v>200000</v>
      </c>
      <c r="Y72" s="81">
        <f t="shared" si="9"/>
        <v>0</v>
      </c>
    </row>
    <row r="73" spans="1:25" s="16" customFormat="1" ht="24.75" customHeight="1">
      <c r="A73" s="1"/>
      <c r="B73" s="29"/>
      <c r="C73" s="63" t="s">
        <v>92</v>
      </c>
      <c r="D73" s="32">
        <f t="shared" si="11"/>
        <v>250000</v>
      </c>
      <c r="E73" s="30"/>
      <c r="F73" s="25">
        <f t="shared" si="12"/>
        <v>250000</v>
      </c>
      <c r="G73" s="33">
        <v>250000</v>
      </c>
      <c r="H73" s="25"/>
      <c r="I73" s="50"/>
      <c r="J73" s="79"/>
      <c r="K73" s="56">
        <f t="shared" si="13"/>
        <v>0</v>
      </c>
      <c r="L73" s="64"/>
      <c r="M73" s="64"/>
      <c r="N73" s="64"/>
      <c r="O73" s="64"/>
      <c r="P73" s="64"/>
      <c r="Q73" s="64"/>
      <c r="R73" s="64"/>
      <c r="S73" s="64"/>
      <c r="T73" s="64">
        <v>125000</v>
      </c>
      <c r="U73" s="64">
        <v>125000</v>
      </c>
      <c r="V73" s="64"/>
      <c r="W73" s="64"/>
      <c r="X73" s="64">
        <f t="shared" si="14"/>
        <v>250000</v>
      </c>
      <c r="Y73" s="81">
        <f t="shared" si="9"/>
        <v>0</v>
      </c>
    </row>
    <row r="74" spans="1:25" s="16" customFormat="1" ht="24.75" customHeight="1">
      <c r="A74" s="1"/>
      <c r="B74" s="29"/>
      <c r="C74" s="61" t="s">
        <v>93</v>
      </c>
      <c r="D74" s="32">
        <f t="shared" si="11"/>
        <v>260000</v>
      </c>
      <c r="E74" s="30"/>
      <c r="F74" s="25">
        <f t="shared" si="12"/>
        <v>260000</v>
      </c>
      <c r="G74" s="33">
        <v>260000</v>
      </c>
      <c r="H74" s="25"/>
      <c r="I74" s="50"/>
      <c r="J74" s="79"/>
      <c r="K74" s="56">
        <f t="shared" si="13"/>
        <v>0</v>
      </c>
      <c r="L74" s="64"/>
      <c r="M74" s="64"/>
      <c r="N74" s="64"/>
      <c r="O74" s="64"/>
      <c r="P74" s="64"/>
      <c r="Q74" s="64"/>
      <c r="R74" s="64"/>
      <c r="S74" s="64"/>
      <c r="T74" s="64"/>
      <c r="U74" s="64">
        <v>135000</v>
      </c>
      <c r="V74" s="64">
        <v>125000</v>
      </c>
      <c r="W74" s="64"/>
      <c r="X74" s="64">
        <f t="shared" si="14"/>
        <v>260000</v>
      </c>
      <c r="Y74" s="81">
        <f t="shared" si="9"/>
        <v>0</v>
      </c>
    </row>
    <row r="75" spans="1:25" s="16" customFormat="1" ht="24.75" customHeight="1">
      <c r="A75" s="1"/>
      <c r="B75" s="29"/>
      <c r="C75" s="61" t="s">
        <v>110</v>
      </c>
      <c r="D75" s="32">
        <f t="shared" si="11"/>
        <v>150000</v>
      </c>
      <c r="E75" s="30"/>
      <c r="F75" s="25">
        <f t="shared" si="12"/>
        <v>150000</v>
      </c>
      <c r="G75" s="33">
        <v>150000</v>
      </c>
      <c r="H75" s="25"/>
      <c r="I75" s="50"/>
      <c r="J75" s="79"/>
      <c r="K75" s="56">
        <f t="shared" si="13"/>
        <v>0</v>
      </c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>
        <v>150000</v>
      </c>
      <c r="W75" s="64"/>
      <c r="X75" s="64">
        <f t="shared" si="14"/>
        <v>150000</v>
      </c>
      <c r="Y75" s="81">
        <f t="shared" si="9"/>
        <v>0</v>
      </c>
    </row>
    <row r="76" spans="1:25" s="16" customFormat="1" ht="24.75" customHeight="1">
      <c r="A76" s="1"/>
      <c r="B76" s="29"/>
      <c r="C76" s="61" t="s">
        <v>94</v>
      </c>
      <c r="D76" s="32">
        <f t="shared" si="11"/>
        <v>150000</v>
      </c>
      <c r="E76" s="30"/>
      <c r="F76" s="25">
        <f t="shared" si="12"/>
        <v>150000</v>
      </c>
      <c r="G76" s="33">
        <v>150000</v>
      </c>
      <c r="H76" s="25"/>
      <c r="I76" s="50"/>
      <c r="J76" s="79"/>
      <c r="K76" s="56">
        <f t="shared" si="13"/>
        <v>0</v>
      </c>
      <c r="L76" s="64"/>
      <c r="M76" s="64"/>
      <c r="N76" s="64"/>
      <c r="O76" s="64"/>
      <c r="P76" s="64"/>
      <c r="Q76" s="64"/>
      <c r="R76" s="64"/>
      <c r="S76" s="64"/>
      <c r="T76" s="64"/>
      <c r="U76" s="64">
        <v>150000</v>
      </c>
      <c r="V76" s="64"/>
      <c r="W76" s="64"/>
      <c r="X76" s="64">
        <f t="shared" si="14"/>
        <v>150000</v>
      </c>
      <c r="Y76" s="81">
        <f t="shared" si="9"/>
        <v>0</v>
      </c>
    </row>
    <row r="77" spans="1:25" s="16" customFormat="1" ht="24.75" customHeight="1">
      <c r="A77" s="1"/>
      <c r="B77" s="29"/>
      <c r="C77" s="60" t="s">
        <v>95</v>
      </c>
      <c r="D77" s="32">
        <f t="shared" si="11"/>
        <v>12500000</v>
      </c>
      <c r="E77" s="30"/>
      <c r="F77" s="25">
        <f t="shared" si="12"/>
        <v>12500000</v>
      </c>
      <c r="G77" s="33">
        <v>12500000</v>
      </c>
      <c r="H77" s="25">
        <f>6182.05</f>
        <v>6182.05</v>
      </c>
      <c r="I77" s="25">
        <f>H77/D77*100</f>
        <v>0.0494564</v>
      </c>
      <c r="J77" s="79">
        <f>H77/(L77+M77+N77+O77+P77)*100</f>
        <v>99.99999999999996</v>
      </c>
      <c r="K77" s="56">
        <f t="shared" si="13"/>
        <v>0</v>
      </c>
      <c r="L77" s="64"/>
      <c r="M77" s="64"/>
      <c r="N77" s="64">
        <v>125000</v>
      </c>
      <c r="O77" s="64"/>
      <c r="P77" s="64">
        <f>-118817.95</f>
        <v>-118817.95</v>
      </c>
      <c r="Q77" s="64"/>
      <c r="R77" s="64">
        <v>6000000</v>
      </c>
      <c r="S77" s="64"/>
      <c r="T77" s="64"/>
      <c r="U77" s="64">
        <v>2000000</v>
      </c>
      <c r="V77" s="64">
        <v>4375000</v>
      </c>
      <c r="W77" s="64">
        <f>118817.95</f>
        <v>118817.95</v>
      </c>
      <c r="X77" s="64">
        <f t="shared" si="14"/>
        <v>12500000</v>
      </c>
      <c r="Y77" s="81">
        <f t="shared" si="9"/>
        <v>0</v>
      </c>
    </row>
    <row r="78" spans="1:25" s="16" customFormat="1" ht="21.75" customHeight="1">
      <c r="A78" s="1"/>
      <c r="B78" s="29"/>
      <c r="C78" s="60" t="s">
        <v>96</v>
      </c>
      <c r="D78" s="32">
        <f t="shared" si="11"/>
        <v>3050000</v>
      </c>
      <c r="E78" s="30"/>
      <c r="F78" s="25">
        <f t="shared" si="12"/>
        <v>3050000</v>
      </c>
      <c r="G78" s="33">
        <f>3043000+7000</f>
        <v>3050000</v>
      </c>
      <c r="H78" s="25">
        <f>275933.34+29437.7+941917.2+15430.54</f>
        <v>1262718.78</v>
      </c>
      <c r="I78" s="50">
        <f>H78/D78*100</f>
        <v>41.40061573770492</v>
      </c>
      <c r="J78" s="79">
        <f>H78/(L78+M78+N78+O78+P78)*100</f>
        <v>82.80123147540984</v>
      </c>
      <c r="K78" s="56">
        <f t="shared" si="13"/>
        <v>1787281.22</v>
      </c>
      <c r="L78" s="64"/>
      <c r="M78" s="64"/>
      <c r="N78" s="64">
        <v>754000</v>
      </c>
      <c r="O78" s="64">
        <v>7000</v>
      </c>
      <c r="P78" s="64">
        <v>764000</v>
      </c>
      <c r="Q78" s="64">
        <v>1525000</v>
      </c>
      <c r="R78" s="64"/>
      <c r="S78" s="64"/>
      <c r="T78" s="64"/>
      <c r="U78" s="64"/>
      <c r="V78" s="64"/>
      <c r="W78" s="64"/>
      <c r="X78" s="64">
        <f t="shared" si="14"/>
        <v>3050000</v>
      </c>
      <c r="Y78" s="81">
        <f t="shared" si="9"/>
        <v>0</v>
      </c>
    </row>
    <row r="79" spans="1:25" s="16" customFormat="1" ht="18.75" customHeight="1">
      <c r="A79" s="1"/>
      <c r="B79" s="29"/>
      <c r="C79" s="60" t="s">
        <v>97</v>
      </c>
      <c r="D79" s="32">
        <f t="shared" si="11"/>
        <v>8141900</v>
      </c>
      <c r="E79" s="30"/>
      <c r="F79" s="25">
        <f t="shared" si="12"/>
        <v>8141900</v>
      </c>
      <c r="G79" s="33">
        <f>6648900-7000+1500000</f>
        <v>8141900</v>
      </c>
      <c r="H79" s="25"/>
      <c r="I79" s="50"/>
      <c r="J79" s="79"/>
      <c r="K79" s="56">
        <f t="shared" si="13"/>
        <v>5315950</v>
      </c>
      <c r="L79" s="64"/>
      <c r="M79" s="64"/>
      <c r="N79" s="64">
        <v>7000</v>
      </c>
      <c r="O79" s="64">
        <v>-7000</v>
      </c>
      <c r="P79" s="64"/>
      <c r="Q79" s="64">
        <f>3315950+2000000</f>
        <v>5315950</v>
      </c>
      <c r="R79" s="64"/>
      <c r="S79" s="64"/>
      <c r="T79" s="64">
        <v>1000000</v>
      </c>
      <c r="U79" s="64">
        <f>1000000-1000000</f>
        <v>0</v>
      </c>
      <c r="V79" s="64">
        <f>1325950+1000000-1000000</f>
        <v>1325950</v>
      </c>
      <c r="W79" s="64">
        <v>500000</v>
      </c>
      <c r="X79" s="64">
        <f t="shared" si="14"/>
        <v>8141900</v>
      </c>
      <c r="Y79" s="81">
        <f t="shared" si="9"/>
        <v>0</v>
      </c>
    </row>
    <row r="80" spans="1:25" s="16" customFormat="1" ht="18.75" customHeight="1">
      <c r="A80" s="1"/>
      <c r="B80" s="29"/>
      <c r="C80" s="31" t="s">
        <v>33</v>
      </c>
      <c r="D80" s="32">
        <f t="shared" si="11"/>
        <v>2519000</v>
      </c>
      <c r="E80" s="30"/>
      <c r="F80" s="25">
        <f t="shared" si="12"/>
        <v>2519000</v>
      </c>
      <c r="G80" s="33">
        <v>2519000</v>
      </c>
      <c r="H80" s="25">
        <f>595483.2+6729.38+480496.81</f>
        <v>1082709.39</v>
      </c>
      <c r="I80" s="50">
        <f>H80/D80*100</f>
        <v>42.981714569273514</v>
      </c>
      <c r="J80" s="79">
        <f>H80/(L80+M80+N80+O80+P80)*100</f>
        <v>97.98275022624433</v>
      </c>
      <c r="K80" s="56">
        <f t="shared" si="13"/>
        <v>1436290.61</v>
      </c>
      <c r="L80" s="64"/>
      <c r="M80" s="64">
        <v>300000</v>
      </c>
      <c r="N80" s="64">
        <v>330000</v>
      </c>
      <c r="O80" s="64"/>
      <c r="P80" s="64">
        <f>370000+105000</f>
        <v>475000</v>
      </c>
      <c r="Q80" s="64">
        <f>1519000-105000</f>
        <v>1414000</v>
      </c>
      <c r="R80" s="64"/>
      <c r="S80" s="64"/>
      <c r="T80" s="64"/>
      <c r="U80" s="64"/>
      <c r="V80" s="64"/>
      <c r="W80" s="64"/>
      <c r="X80" s="64">
        <f t="shared" si="14"/>
        <v>2519000</v>
      </c>
      <c r="Y80" s="81">
        <f t="shared" si="9"/>
        <v>0</v>
      </c>
    </row>
    <row r="81" spans="1:25" s="16" customFormat="1" ht="19.5" customHeight="1">
      <c r="A81" s="1"/>
      <c r="B81" s="29"/>
      <c r="C81" s="31" t="s">
        <v>34</v>
      </c>
      <c r="D81" s="32">
        <f t="shared" si="11"/>
        <v>4000000</v>
      </c>
      <c r="E81" s="30"/>
      <c r="F81" s="25">
        <f t="shared" si="12"/>
        <v>4000000</v>
      </c>
      <c r="G81" s="33">
        <f>125000+3875000</f>
        <v>4000000</v>
      </c>
      <c r="H81" s="25">
        <f>40071.36</f>
        <v>40071.36</v>
      </c>
      <c r="I81" s="50">
        <f>H81/D81*100</f>
        <v>1.001784</v>
      </c>
      <c r="J81" s="79">
        <f>H81/(L81+M81+N81+O81+P81)*100</f>
        <v>20.03568</v>
      </c>
      <c r="K81" s="56">
        <f t="shared" si="13"/>
        <v>159928.64</v>
      </c>
      <c r="L81" s="64"/>
      <c r="M81" s="64"/>
      <c r="N81" s="64">
        <v>125000</v>
      </c>
      <c r="O81" s="64">
        <v>75000</v>
      </c>
      <c r="P81" s="64"/>
      <c r="Q81" s="64"/>
      <c r="R81" s="64">
        <v>1900000</v>
      </c>
      <c r="S81" s="64"/>
      <c r="T81" s="64"/>
      <c r="U81" s="64">
        <v>950000</v>
      </c>
      <c r="V81" s="64">
        <v>950000</v>
      </c>
      <c r="W81" s="64"/>
      <c r="X81" s="64">
        <f t="shared" si="14"/>
        <v>4000000</v>
      </c>
      <c r="Y81" s="81">
        <f t="shared" si="9"/>
        <v>0</v>
      </c>
    </row>
    <row r="82" spans="1:25" s="16" customFormat="1" ht="40.5" customHeight="1">
      <c r="A82" s="1"/>
      <c r="B82" s="29"/>
      <c r="C82" s="60" t="s">
        <v>35</v>
      </c>
      <c r="D82" s="32">
        <f t="shared" si="11"/>
        <v>147000</v>
      </c>
      <c r="E82" s="30"/>
      <c r="F82" s="25">
        <f t="shared" si="12"/>
        <v>147000</v>
      </c>
      <c r="G82" s="33">
        <f>462000+385000-700000</f>
        <v>147000</v>
      </c>
      <c r="H82" s="25"/>
      <c r="I82" s="50"/>
      <c r="J82" s="79">
        <f>H82/(L82+M82+N82+O82+P82)*100</f>
        <v>0</v>
      </c>
      <c r="K82" s="56">
        <f t="shared" si="13"/>
        <v>147000</v>
      </c>
      <c r="L82" s="64"/>
      <c r="M82" s="64">
        <v>462000</v>
      </c>
      <c r="N82" s="64">
        <v>-315000</v>
      </c>
      <c r="O82" s="64"/>
      <c r="P82" s="64"/>
      <c r="Q82" s="64"/>
      <c r="R82" s="64"/>
      <c r="S82" s="64"/>
      <c r="T82" s="64">
        <f>125000-125000</f>
        <v>0</v>
      </c>
      <c r="U82" s="64">
        <f>260000-260000</f>
        <v>0</v>
      </c>
      <c r="V82" s="64"/>
      <c r="W82" s="64"/>
      <c r="X82" s="64">
        <f t="shared" si="14"/>
        <v>147000</v>
      </c>
      <c r="Y82" s="81">
        <f t="shared" si="9"/>
        <v>0</v>
      </c>
    </row>
    <row r="83" spans="1:25" s="16" customFormat="1" ht="40.5" customHeight="1">
      <c r="A83" s="1"/>
      <c r="B83" s="29"/>
      <c r="C83" s="60" t="s">
        <v>98</v>
      </c>
      <c r="D83" s="32">
        <f t="shared" si="11"/>
        <v>3000000</v>
      </c>
      <c r="E83" s="30"/>
      <c r="F83" s="25">
        <f t="shared" si="12"/>
        <v>3000000</v>
      </c>
      <c r="G83" s="33">
        <v>3000000</v>
      </c>
      <c r="H83" s="25"/>
      <c r="I83" s="50"/>
      <c r="J83" s="79"/>
      <c r="K83" s="56">
        <f t="shared" si="13"/>
        <v>0</v>
      </c>
      <c r="L83" s="64"/>
      <c r="M83" s="64"/>
      <c r="N83" s="64"/>
      <c r="O83" s="64">
        <v>80000</v>
      </c>
      <c r="P83" s="64">
        <f>-80000</f>
        <v>-80000</v>
      </c>
      <c r="Q83" s="64"/>
      <c r="R83" s="64">
        <v>1460000</v>
      </c>
      <c r="S83" s="64">
        <v>1460000</v>
      </c>
      <c r="T83" s="64"/>
      <c r="U83" s="64"/>
      <c r="V83" s="64"/>
      <c r="W83" s="64">
        <f>80000</f>
        <v>80000</v>
      </c>
      <c r="X83" s="64">
        <f t="shared" si="14"/>
        <v>3000000</v>
      </c>
      <c r="Y83" s="81">
        <f t="shared" si="9"/>
        <v>0</v>
      </c>
    </row>
    <row r="84" spans="1:25" s="16" customFormat="1" ht="40.5" customHeight="1">
      <c r="A84" s="1"/>
      <c r="B84" s="29"/>
      <c r="C84" s="31" t="s">
        <v>36</v>
      </c>
      <c r="D84" s="32">
        <f t="shared" si="11"/>
        <v>2188000</v>
      </c>
      <c r="E84" s="30"/>
      <c r="F84" s="25">
        <f t="shared" si="12"/>
        <v>2188000</v>
      </c>
      <c r="G84" s="33">
        <f>988000+1200000</f>
        <v>2188000</v>
      </c>
      <c r="H84" s="25">
        <f>286305.66+72060+594.73+601021.9+5516.59+658722</f>
        <v>1624220.88</v>
      </c>
      <c r="I84" s="50">
        <f>H84/D84*100</f>
        <v>74.23312979890311</v>
      </c>
      <c r="J84" s="79">
        <f>H84/(L84+M84+N84+O84+P84)*100</f>
        <v>104.11790508211473</v>
      </c>
      <c r="K84" s="56">
        <f t="shared" si="13"/>
        <v>761.410000000149</v>
      </c>
      <c r="L84" s="64"/>
      <c r="M84" s="64">
        <v>400000</v>
      </c>
      <c r="N84" s="64">
        <v>588000</v>
      </c>
      <c r="O84" s="64"/>
      <c r="P84" s="64">
        <f>-28017.71+600000</f>
        <v>571982.29</v>
      </c>
      <c r="Q84" s="64">
        <v>65000</v>
      </c>
      <c r="R84" s="64">
        <f>600000-65000</f>
        <v>535000</v>
      </c>
      <c r="S84" s="64"/>
      <c r="T84" s="64"/>
      <c r="U84" s="64"/>
      <c r="V84" s="64"/>
      <c r="W84" s="64">
        <f>28017.71</f>
        <v>28017.71</v>
      </c>
      <c r="X84" s="64">
        <f t="shared" si="14"/>
        <v>2188000</v>
      </c>
      <c r="Y84" s="81">
        <f t="shared" si="9"/>
        <v>0</v>
      </c>
    </row>
    <row r="85" spans="1:25" s="16" customFormat="1" ht="39.75" customHeight="1">
      <c r="A85" s="1"/>
      <c r="B85" s="29"/>
      <c r="C85" s="60" t="s">
        <v>37</v>
      </c>
      <c r="D85" s="32">
        <f t="shared" si="11"/>
        <v>254000</v>
      </c>
      <c r="E85" s="30"/>
      <c r="F85" s="25">
        <f t="shared" si="12"/>
        <v>254000</v>
      </c>
      <c r="G85" s="33">
        <f>314000+940000-1000000</f>
        <v>254000</v>
      </c>
      <c r="H85" s="25">
        <f>72317.85</f>
        <v>72317.85</v>
      </c>
      <c r="I85" s="50">
        <f>H85/D85*100</f>
        <v>28.471594488188977</v>
      </c>
      <c r="J85" s="79">
        <f>H85/(L85+M85+N85+O85+P85)*100</f>
        <v>100</v>
      </c>
      <c r="K85" s="56">
        <f t="shared" si="13"/>
        <v>0</v>
      </c>
      <c r="L85" s="64"/>
      <c r="M85" s="64">
        <v>314000</v>
      </c>
      <c r="N85" s="64">
        <v>-60000</v>
      </c>
      <c r="O85" s="64">
        <f>940000-940000</f>
        <v>0</v>
      </c>
      <c r="P85" s="64">
        <f>-181682.15</f>
        <v>-181682.15</v>
      </c>
      <c r="Q85" s="64"/>
      <c r="R85" s="64"/>
      <c r="S85" s="64"/>
      <c r="T85" s="64"/>
      <c r="U85" s="64"/>
      <c r="V85" s="64"/>
      <c r="W85" s="64">
        <f>181682.15</f>
        <v>181682.15</v>
      </c>
      <c r="X85" s="64">
        <f t="shared" si="14"/>
        <v>254000</v>
      </c>
      <c r="Y85" s="81">
        <f t="shared" si="9"/>
        <v>0</v>
      </c>
    </row>
    <row r="86" spans="1:25" s="16" customFormat="1" ht="39.75" customHeight="1">
      <c r="A86" s="1"/>
      <c r="B86" s="29"/>
      <c r="C86" s="60" t="s">
        <v>99</v>
      </c>
      <c r="D86" s="32">
        <f t="shared" si="11"/>
        <v>16000000</v>
      </c>
      <c r="E86" s="30"/>
      <c r="F86" s="25">
        <f t="shared" si="12"/>
        <v>16000000</v>
      </c>
      <c r="G86" s="33">
        <v>16000000</v>
      </c>
      <c r="H86" s="25">
        <f>13429+7850000</f>
        <v>7863429</v>
      </c>
      <c r="I86" s="50">
        <f>H86/D86*100</f>
        <v>49.14643125</v>
      </c>
      <c r="J86" s="79">
        <f>H86/(L86+M86+N86+O86+P86)*100</f>
        <v>98.07220004988775</v>
      </c>
      <c r="K86" s="56">
        <f t="shared" si="13"/>
        <v>154571</v>
      </c>
      <c r="L86" s="64"/>
      <c r="M86" s="64"/>
      <c r="N86" s="64">
        <f>700000+418000+500000</f>
        <v>1618000</v>
      </c>
      <c r="O86" s="64"/>
      <c r="P86" s="64">
        <f>6400000</f>
        <v>6400000</v>
      </c>
      <c r="Q86" s="64">
        <f>1547800+940000-2487800</f>
        <v>0</v>
      </c>
      <c r="R86" s="64"/>
      <c r="S86" s="64"/>
      <c r="T86" s="65">
        <f>1731585.76-912200</f>
        <v>819385.76</v>
      </c>
      <c r="U86" s="64">
        <f>3000000</f>
        <v>3000000</v>
      </c>
      <c r="V86" s="65">
        <v>3741261.78</v>
      </c>
      <c r="W86" s="65">
        <f>3421352.46-3000000</f>
        <v>421352.45999999996</v>
      </c>
      <c r="X86" s="64">
        <f t="shared" si="14"/>
        <v>16000000</v>
      </c>
      <c r="Y86" s="81">
        <f aca="true" t="shared" si="15" ref="Y86:Y99">D86-X86</f>
        <v>0</v>
      </c>
    </row>
    <row r="87" spans="1:25" s="16" customFormat="1" ht="22.5" customHeight="1">
      <c r="A87" s="1"/>
      <c r="B87" s="29"/>
      <c r="C87" s="31" t="s">
        <v>38</v>
      </c>
      <c r="D87" s="32">
        <f t="shared" si="11"/>
        <v>137000</v>
      </c>
      <c r="E87" s="30"/>
      <c r="F87" s="25">
        <f t="shared" si="12"/>
        <v>137000</v>
      </c>
      <c r="G87" s="33">
        <f>837000-700000</f>
        <v>137000</v>
      </c>
      <c r="H87" s="25"/>
      <c r="I87" s="50"/>
      <c r="J87" s="79"/>
      <c r="K87" s="56">
        <f t="shared" si="13"/>
        <v>0</v>
      </c>
      <c r="L87" s="64"/>
      <c r="M87" s="64">
        <v>300000</v>
      </c>
      <c r="N87" s="64">
        <f>537000-700000</f>
        <v>-163000</v>
      </c>
      <c r="O87" s="64"/>
      <c r="P87" s="64">
        <f>-137000</f>
        <v>-137000</v>
      </c>
      <c r="Q87" s="64"/>
      <c r="R87" s="64"/>
      <c r="S87" s="64"/>
      <c r="T87" s="64"/>
      <c r="U87" s="64"/>
      <c r="V87" s="64"/>
      <c r="W87" s="64">
        <f>137000</f>
        <v>137000</v>
      </c>
      <c r="X87" s="64">
        <f t="shared" si="14"/>
        <v>137000</v>
      </c>
      <c r="Y87" s="81">
        <f t="shared" si="15"/>
        <v>0</v>
      </c>
    </row>
    <row r="88" spans="1:25" s="16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2"/>
        <v>400000</v>
      </c>
      <c r="G88" s="33">
        <f>900000-500000</f>
        <v>400000</v>
      </c>
      <c r="H88" s="25"/>
      <c r="I88" s="50"/>
      <c r="J88" s="79"/>
      <c r="K88" s="56">
        <f t="shared" si="13"/>
        <v>128000</v>
      </c>
      <c r="L88" s="64"/>
      <c r="M88" s="64">
        <v>300000</v>
      </c>
      <c r="N88" s="64">
        <f>600000-500000</f>
        <v>100000</v>
      </c>
      <c r="O88" s="64"/>
      <c r="P88" s="64">
        <f>-192000-128000-80000</f>
        <v>-400000</v>
      </c>
      <c r="Q88" s="64">
        <v>128000</v>
      </c>
      <c r="R88" s="64">
        <v>70000</v>
      </c>
      <c r="S88" s="64">
        <v>10000</v>
      </c>
      <c r="T88" s="64"/>
      <c r="U88" s="64"/>
      <c r="V88" s="64"/>
      <c r="W88" s="64">
        <f>192000</f>
        <v>192000</v>
      </c>
      <c r="X88" s="64">
        <f t="shared" si="14"/>
        <v>400000</v>
      </c>
      <c r="Y88" s="81">
        <f t="shared" si="15"/>
        <v>0</v>
      </c>
    </row>
    <row r="89" spans="1:25" s="16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2"/>
        <v>248000</v>
      </c>
      <c r="G89" s="25">
        <v>248000</v>
      </c>
      <c r="H89" s="25"/>
      <c r="I89" s="50"/>
      <c r="J89" s="79"/>
      <c r="K89" s="56">
        <f t="shared" si="13"/>
        <v>0</v>
      </c>
      <c r="L89" s="64"/>
      <c r="M89" s="64">
        <v>248000</v>
      </c>
      <c r="N89" s="64"/>
      <c r="O89" s="64"/>
      <c r="P89" s="64">
        <f>-167000-81000</f>
        <v>-248000</v>
      </c>
      <c r="Q89" s="64"/>
      <c r="R89" s="64"/>
      <c r="S89" s="64">
        <v>71000</v>
      </c>
      <c r="T89" s="64">
        <v>10000</v>
      </c>
      <c r="U89" s="64"/>
      <c r="V89" s="64"/>
      <c r="W89" s="64">
        <f>167000</f>
        <v>167000</v>
      </c>
      <c r="X89" s="64">
        <f t="shared" si="14"/>
        <v>248000</v>
      </c>
      <c r="Y89" s="81">
        <f t="shared" si="15"/>
        <v>0</v>
      </c>
    </row>
    <row r="90" spans="1:25" s="16" customFormat="1" ht="40.5" customHeight="1">
      <c r="A90" s="1"/>
      <c r="B90" s="29"/>
      <c r="C90" s="60" t="s">
        <v>100</v>
      </c>
      <c r="D90" s="32">
        <f aca="true" t="shared" si="16" ref="D90:D98">F90</f>
        <v>13000000</v>
      </c>
      <c r="E90" s="6"/>
      <c r="F90" s="25">
        <f t="shared" si="12"/>
        <v>13000000</v>
      </c>
      <c r="G90" s="33">
        <v>13000000</v>
      </c>
      <c r="H90" s="25"/>
      <c r="I90" s="50"/>
      <c r="J90" s="79">
        <f>H90/(L90+M90+N90+O90+P90)*100</f>
        <v>0</v>
      </c>
      <c r="K90" s="56">
        <f t="shared" si="13"/>
        <v>4445000</v>
      </c>
      <c r="L90" s="64"/>
      <c r="M90" s="64"/>
      <c r="N90" s="64"/>
      <c r="O90" s="64">
        <v>20000</v>
      </c>
      <c r="P90" s="64"/>
      <c r="Q90" s="64">
        <f>6490000-2065000</f>
        <v>4425000</v>
      </c>
      <c r="R90" s="64">
        <v>65000</v>
      </c>
      <c r="S90" s="64">
        <v>6490000</v>
      </c>
      <c r="T90" s="64"/>
      <c r="U90" s="64">
        <v>1000000</v>
      </c>
      <c r="V90" s="64">
        <v>1000000</v>
      </c>
      <c r="W90" s="64"/>
      <c r="X90" s="64">
        <f t="shared" si="14"/>
        <v>13000000</v>
      </c>
      <c r="Y90" s="81">
        <f t="shared" si="15"/>
        <v>0</v>
      </c>
    </row>
    <row r="91" spans="1:25" s="16" customFormat="1" ht="40.5" customHeight="1">
      <c r="A91" s="1"/>
      <c r="B91" s="29"/>
      <c r="C91" s="60" t="s">
        <v>101</v>
      </c>
      <c r="D91" s="32">
        <f t="shared" si="16"/>
        <v>400000</v>
      </c>
      <c r="E91" s="6"/>
      <c r="F91" s="25">
        <f t="shared" si="12"/>
        <v>400000</v>
      </c>
      <c r="G91" s="33">
        <v>400000</v>
      </c>
      <c r="H91" s="25">
        <v>142252.63</v>
      </c>
      <c r="I91" s="50">
        <f>H91/D91*100</f>
        <v>35.5631575</v>
      </c>
      <c r="J91" s="79">
        <f>H91/(L91+M91+N91+O91+P91)*100</f>
        <v>100</v>
      </c>
      <c r="K91" s="56">
        <f t="shared" si="13"/>
        <v>117000</v>
      </c>
      <c r="L91" s="64"/>
      <c r="M91" s="64"/>
      <c r="N91" s="64"/>
      <c r="O91" s="64"/>
      <c r="P91" s="64">
        <f>120000-747.37+23000</f>
        <v>142252.63</v>
      </c>
      <c r="Q91" s="64">
        <f>140000-23000</f>
        <v>117000</v>
      </c>
      <c r="R91" s="64">
        <v>140000</v>
      </c>
      <c r="S91" s="64"/>
      <c r="T91" s="64"/>
      <c r="U91" s="64"/>
      <c r="V91" s="64"/>
      <c r="W91" s="64">
        <f>747.37</f>
        <v>747.37</v>
      </c>
      <c r="X91" s="64">
        <f t="shared" si="14"/>
        <v>400000</v>
      </c>
      <c r="Y91" s="81">
        <f t="shared" si="15"/>
        <v>0</v>
      </c>
    </row>
    <row r="92" spans="1:25" s="16" customFormat="1" ht="40.5" customHeight="1">
      <c r="A92" s="1"/>
      <c r="B92" s="29"/>
      <c r="C92" s="60" t="s">
        <v>102</v>
      </c>
      <c r="D92" s="32">
        <f t="shared" si="16"/>
        <v>300000</v>
      </c>
      <c r="E92" s="6"/>
      <c r="F92" s="25">
        <f t="shared" si="12"/>
        <v>300000</v>
      </c>
      <c r="G92" s="33">
        <v>300000</v>
      </c>
      <c r="H92" s="25">
        <f>81000+29133</f>
        <v>110133</v>
      </c>
      <c r="I92" s="50">
        <f>H92/D92*100</f>
        <v>36.711</v>
      </c>
      <c r="J92" s="79">
        <f>H92/(L92+M92+N92+O92+P92)*100</f>
        <v>99.21891891891892</v>
      </c>
      <c r="K92" s="56">
        <f t="shared" si="13"/>
        <v>867</v>
      </c>
      <c r="L92" s="64"/>
      <c r="M92" s="64"/>
      <c r="N92" s="64"/>
      <c r="O92" s="64"/>
      <c r="P92" s="64">
        <v>111000</v>
      </c>
      <c r="Q92" s="64"/>
      <c r="R92" s="64">
        <f>100000-100000</f>
        <v>0</v>
      </c>
      <c r="S92" s="64">
        <f>100000-11000</f>
        <v>89000</v>
      </c>
      <c r="T92" s="64">
        <v>100000</v>
      </c>
      <c r="U92" s="64"/>
      <c r="V92" s="64"/>
      <c r="W92" s="64"/>
      <c r="X92" s="64">
        <f t="shared" si="14"/>
        <v>300000</v>
      </c>
      <c r="Y92" s="81">
        <f t="shared" si="15"/>
        <v>0</v>
      </c>
    </row>
    <row r="93" spans="1:25" s="16" customFormat="1" ht="40.5" customHeight="1">
      <c r="A93" s="1"/>
      <c r="B93" s="29"/>
      <c r="C93" s="60" t="s">
        <v>103</v>
      </c>
      <c r="D93" s="32">
        <f t="shared" si="16"/>
        <v>300000</v>
      </c>
      <c r="E93" s="6"/>
      <c r="F93" s="25">
        <f t="shared" si="12"/>
        <v>300000</v>
      </c>
      <c r="G93" s="33">
        <v>300000</v>
      </c>
      <c r="H93" s="25">
        <v>81000</v>
      </c>
      <c r="I93" s="50">
        <f>H93/D93*100</f>
        <v>27</v>
      </c>
      <c r="J93" s="79">
        <f>H93/(L93+M93+N93+O93+P93)*100</f>
        <v>73.63636363636363</v>
      </c>
      <c r="K93" s="56">
        <f t="shared" si="13"/>
        <v>29000</v>
      </c>
      <c r="L93" s="64"/>
      <c r="M93" s="64"/>
      <c r="N93" s="64"/>
      <c r="O93" s="64"/>
      <c r="P93" s="64">
        <v>110000</v>
      </c>
      <c r="Q93" s="64"/>
      <c r="R93" s="64"/>
      <c r="S93" s="64">
        <f>100000-100000</f>
        <v>0</v>
      </c>
      <c r="T93" s="64">
        <f>100000-10000</f>
        <v>90000</v>
      </c>
      <c r="U93" s="64">
        <v>100000</v>
      </c>
      <c r="V93" s="64"/>
      <c r="W93" s="64"/>
      <c r="X93" s="64">
        <f t="shared" si="14"/>
        <v>300000</v>
      </c>
      <c r="Y93" s="81">
        <f t="shared" si="15"/>
        <v>0</v>
      </c>
    </row>
    <row r="94" spans="1:25" s="16" customFormat="1" ht="40.5" customHeight="1">
      <c r="A94" s="1"/>
      <c r="B94" s="29"/>
      <c r="C94" s="60" t="s">
        <v>104</v>
      </c>
      <c r="D94" s="32">
        <f t="shared" si="16"/>
        <v>538000</v>
      </c>
      <c r="E94" s="6"/>
      <c r="F94" s="25">
        <f t="shared" si="12"/>
        <v>538000</v>
      </c>
      <c r="G94" s="33">
        <v>538000</v>
      </c>
      <c r="H94" s="25"/>
      <c r="I94" s="50"/>
      <c r="J94" s="79"/>
      <c r="K94" s="56">
        <f t="shared" si="13"/>
        <v>160000</v>
      </c>
      <c r="L94" s="64"/>
      <c r="M94" s="64"/>
      <c r="N94" s="64"/>
      <c r="O94" s="64"/>
      <c r="P94" s="64"/>
      <c r="Q94" s="64">
        <v>160000</v>
      </c>
      <c r="R94" s="64">
        <v>189000</v>
      </c>
      <c r="S94" s="64">
        <v>189000</v>
      </c>
      <c r="T94" s="64"/>
      <c r="U94" s="64"/>
      <c r="V94" s="64"/>
      <c r="W94" s="64"/>
      <c r="X94" s="64">
        <f t="shared" si="14"/>
        <v>538000</v>
      </c>
      <c r="Y94" s="81">
        <f t="shared" si="15"/>
        <v>0</v>
      </c>
    </row>
    <row r="95" spans="1:25" s="16" customFormat="1" ht="21" customHeight="1">
      <c r="A95" s="1"/>
      <c r="B95" s="29"/>
      <c r="C95" s="60" t="s">
        <v>105</v>
      </c>
      <c r="D95" s="32">
        <f t="shared" si="16"/>
        <v>5000</v>
      </c>
      <c r="E95" s="6"/>
      <c r="F95" s="25">
        <f t="shared" si="12"/>
        <v>5000</v>
      </c>
      <c r="G95" s="33">
        <v>5000</v>
      </c>
      <c r="H95" s="25"/>
      <c r="I95" s="50"/>
      <c r="J95" s="79">
        <f>H95/(L95+M95+N95+O95+P95)*100</f>
        <v>0</v>
      </c>
      <c r="K95" s="56">
        <f t="shared" si="13"/>
        <v>5000</v>
      </c>
      <c r="L95" s="64"/>
      <c r="M95" s="64"/>
      <c r="N95" s="64"/>
      <c r="O95" s="64"/>
      <c r="P95" s="64">
        <v>5000</v>
      </c>
      <c r="Q95" s="64"/>
      <c r="R95" s="64"/>
      <c r="S95" s="64"/>
      <c r="T95" s="64"/>
      <c r="U95" s="64"/>
      <c r="V95" s="64"/>
      <c r="W95" s="64"/>
      <c r="X95" s="64">
        <f t="shared" si="14"/>
        <v>5000</v>
      </c>
      <c r="Y95" s="81">
        <f t="shared" si="15"/>
        <v>0</v>
      </c>
    </row>
    <row r="96" spans="1:25" s="16" customFormat="1" ht="26.25" customHeight="1">
      <c r="A96" s="1"/>
      <c r="B96" s="29"/>
      <c r="C96" s="60" t="s">
        <v>106</v>
      </c>
      <c r="D96" s="32">
        <f t="shared" si="16"/>
        <v>20640</v>
      </c>
      <c r="E96" s="6"/>
      <c r="F96" s="25">
        <f t="shared" si="12"/>
        <v>20640</v>
      </c>
      <c r="G96" s="33">
        <v>20640</v>
      </c>
      <c r="H96" s="25"/>
      <c r="I96" s="50"/>
      <c r="J96" s="79"/>
      <c r="K96" s="56">
        <f t="shared" si="13"/>
        <v>0</v>
      </c>
      <c r="L96" s="64"/>
      <c r="M96" s="64"/>
      <c r="N96" s="64"/>
      <c r="O96" s="64"/>
      <c r="P96" s="64"/>
      <c r="Q96" s="64"/>
      <c r="R96" s="64"/>
      <c r="S96" s="64"/>
      <c r="T96" s="64">
        <v>20640</v>
      </c>
      <c r="U96" s="64"/>
      <c r="V96" s="64"/>
      <c r="W96" s="64"/>
      <c r="X96" s="64">
        <f t="shared" si="14"/>
        <v>20640</v>
      </c>
      <c r="Y96" s="81">
        <f t="shared" si="15"/>
        <v>0</v>
      </c>
    </row>
    <row r="97" spans="1:25" s="16" customFormat="1" ht="22.5" customHeight="1">
      <c r="A97" s="1"/>
      <c r="B97" s="29"/>
      <c r="C97" s="61" t="s">
        <v>107</v>
      </c>
      <c r="D97" s="32">
        <f t="shared" si="16"/>
        <v>250000</v>
      </c>
      <c r="E97" s="6"/>
      <c r="F97" s="25">
        <f t="shared" si="12"/>
        <v>250000</v>
      </c>
      <c r="G97" s="33">
        <v>250000</v>
      </c>
      <c r="H97" s="25"/>
      <c r="I97" s="50"/>
      <c r="J97" s="79"/>
      <c r="K97" s="56">
        <f t="shared" si="13"/>
        <v>0</v>
      </c>
      <c r="L97" s="64"/>
      <c r="M97" s="64"/>
      <c r="N97" s="64"/>
      <c r="O97" s="64"/>
      <c r="P97" s="64"/>
      <c r="Q97" s="64"/>
      <c r="R97" s="64"/>
      <c r="S97" s="64"/>
      <c r="T97" s="64">
        <v>250000</v>
      </c>
      <c r="U97" s="64"/>
      <c r="V97" s="64"/>
      <c r="W97" s="64"/>
      <c r="X97" s="64">
        <f t="shared" si="14"/>
        <v>250000</v>
      </c>
      <c r="Y97" s="81">
        <f t="shared" si="15"/>
        <v>0</v>
      </c>
    </row>
    <row r="98" spans="1:25" s="16" customFormat="1" ht="22.5" customHeight="1">
      <c r="A98" s="1"/>
      <c r="B98" s="29"/>
      <c r="C98" s="60" t="s">
        <v>108</v>
      </c>
      <c r="D98" s="32">
        <f t="shared" si="16"/>
        <v>2050000</v>
      </c>
      <c r="E98" s="6"/>
      <c r="F98" s="25">
        <f t="shared" si="12"/>
        <v>2050000</v>
      </c>
      <c r="G98" s="33">
        <f>50000+2000000</f>
        <v>2050000</v>
      </c>
      <c r="H98" s="25"/>
      <c r="I98" s="50"/>
      <c r="J98" s="79"/>
      <c r="K98" s="56">
        <f t="shared" si="13"/>
        <v>0</v>
      </c>
      <c r="L98" s="64"/>
      <c r="M98" s="64"/>
      <c r="N98" s="64"/>
      <c r="O98" s="64"/>
      <c r="P98" s="64"/>
      <c r="Q98" s="64"/>
      <c r="R98" s="64"/>
      <c r="S98" s="64"/>
      <c r="T98" s="64">
        <v>50000</v>
      </c>
      <c r="U98" s="64"/>
      <c r="V98" s="64">
        <v>1081074.46</v>
      </c>
      <c r="W98" s="64">
        <v>918925.54</v>
      </c>
      <c r="X98" s="64">
        <f t="shared" si="14"/>
        <v>2050000</v>
      </c>
      <c r="Y98" s="81">
        <f t="shared" si="15"/>
        <v>0</v>
      </c>
    </row>
    <row r="99" spans="1:25" ht="18">
      <c r="A99" s="34"/>
      <c r="B99" s="18"/>
      <c r="C99" s="35" t="s">
        <v>10</v>
      </c>
      <c r="D99" s="20">
        <f>D8+D49</f>
        <v>196494938.86</v>
      </c>
      <c r="E99" s="20">
        <f>E8+E49</f>
        <v>31136618.86</v>
      </c>
      <c r="F99" s="20">
        <f>F8+F49</f>
        <v>165358320</v>
      </c>
      <c r="G99" s="20">
        <f>G8+G49</f>
        <v>165358320</v>
      </c>
      <c r="H99" s="20">
        <f>H8+H49</f>
        <v>47506120.48</v>
      </c>
      <c r="I99" s="48">
        <f>H99/D99*100</f>
        <v>24.17676544526547</v>
      </c>
      <c r="J99" s="79">
        <f>H99/(L99+M99+N99+O99+P99)*100</f>
        <v>72.03565819784812</v>
      </c>
      <c r="K99" s="56">
        <f>L99+M99+N99+O99+P99+Q99-H99</f>
        <v>41170496.830000006</v>
      </c>
      <c r="L99" s="20">
        <f aca="true" t="shared" si="17" ref="L99:X99">L8+L23+L50</f>
        <v>112816</v>
      </c>
      <c r="M99" s="20">
        <f t="shared" si="17"/>
        <v>3716000</v>
      </c>
      <c r="N99" s="20">
        <f t="shared" si="17"/>
        <v>13424000</v>
      </c>
      <c r="O99" s="20">
        <f t="shared" si="17"/>
        <v>23627301.990000002</v>
      </c>
      <c r="P99" s="20">
        <f t="shared" si="17"/>
        <v>25067943.939999998</v>
      </c>
      <c r="Q99" s="20">
        <f t="shared" si="17"/>
        <v>22728555.38</v>
      </c>
      <c r="R99" s="20">
        <f t="shared" si="17"/>
        <v>35134272.010000005</v>
      </c>
      <c r="S99" s="20">
        <f t="shared" si="17"/>
        <v>21306952.259999998</v>
      </c>
      <c r="T99" s="20">
        <f t="shared" si="17"/>
        <v>7091945.86</v>
      </c>
      <c r="U99" s="20">
        <f t="shared" si="17"/>
        <v>18883031.23</v>
      </c>
      <c r="V99" s="20">
        <f t="shared" si="17"/>
        <v>16898390.759999998</v>
      </c>
      <c r="W99" s="20">
        <f t="shared" si="17"/>
        <v>8503729.43</v>
      </c>
      <c r="X99" s="20">
        <f t="shared" si="17"/>
        <v>196494938.86</v>
      </c>
      <c r="Y99" s="81">
        <f t="shared" si="15"/>
        <v>0</v>
      </c>
    </row>
    <row r="100" spans="1:11" ht="18" hidden="1">
      <c r="A100" s="39" t="s">
        <v>39</v>
      </c>
      <c r="B100" s="40"/>
      <c r="C100" s="41"/>
      <c r="D100" s="42"/>
      <c r="E100" s="42"/>
      <c r="F100" s="42"/>
      <c r="G100" s="42"/>
      <c r="K100" s="56">
        <f>L100+M100+N100-H100</f>
        <v>0</v>
      </c>
    </row>
    <row r="101" spans="1:11" ht="18" hidden="1">
      <c r="A101" s="2"/>
      <c r="B101" s="36"/>
      <c r="C101" s="37"/>
      <c r="D101" s="3"/>
      <c r="E101" s="36"/>
      <c r="F101" s="36"/>
      <c r="K101" s="56">
        <f>L101+M101+N101-H101</f>
        <v>0</v>
      </c>
    </row>
  </sheetData>
  <sheetProtection/>
  <mergeCells count="26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8:I48"/>
    <mergeCell ref="L4:L5"/>
    <mergeCell ref="K4:K5"/>
    <mergeCell ref="J4:J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2016-04-18T12:13:26Z</cp:lastPrinted>
  <dcterms:created xsi:type="dcterms:W3CDTF">2014-01-17T10:52:16Z</dcterms:created>
  <dcterms:modified xsi:type="dcterms:W3CDTF">2016-06-02T12:02:04Z</dcterms:modified>
  <cp:category/>
  <cp:version/>
  <cp:contentType/>
  <cp:contentStatus/>
</cp:coreProperties>
</file>